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K:\Quality Documentation\"/>
    </mc:Choice>
  </mc:AlternateContent>
  <xr:revisionPtr revIDLastSave="0" documentId="8_{156C1733-CC9F-40D9-9348-E0CE08356F2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370" yWindow="165" windowWidth="23985" windowHeight="148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H6"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C8" i="6" s="1"/>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C4" i="6" l="1"/>
  <c r="C9" i="6"/>
  <c r="C11" i="6"/>
  <c r="C10"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D24" i="6" l="1"/>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5" i="5"/>
  <c r="T16" i="5"/>
  <c r="T13" i="5"/>
  <c r="T17" i="5"/>
  <c r="T14" i="5"/>
  <c r="T12" i="5"/>
  <c r="T10" i="5"/>
  <c r="T7" i="5"/>
  <c r="T9" i="5"/>
  <c r="T11" i="5"/>
  <c r="T8" i="5"/>
  <c r="C68" i="6" l="1"/>
  <c r="X13" i="5"/>
  <c r="X10" i="5"/>
  <c r="D65" i="6"/>
  <c r="X9" i="5"/>
  <c r="X12" i="5"/>
  <c r="X14" i="5"/>
  <c r="X17" i="5"/>
  <c r="D66" i="6"/>
  <c r="C67" i="6"/>
  <c r="X11" i="5"/>
  <c r="X15" i="5"/>
  <c r="X8" i="5"/>
  <c r="X7" i="5"/>
  <c r="G69" i="6"/>
  <c r="H69" i="6" s="1"/>
  <c r="H70" i="6" s="1"/>
  <c r="D2" i="6" s="1"/>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<sst xmlns="http://schemas.openxmlformats.org/spreadsheetml/2006/main" count="21962" uniqueCount="15621">
  <si>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</si>
  <si>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</si>
  <si>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</si>
  <si>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</si>
  <si>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</si>
  <si>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</si>
  <si>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</si>
  <si>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</si>
  <si>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</si>
  <si>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</si>
  <si>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</si>
  <si>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</si>
  <si>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</si>
  <si>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</si>
  <si>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</si>
  <si>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</si>
  <si>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</si>
  <si>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</si>
  <si>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</si>
  <si>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</si>
  <si>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</si>
  <si>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</si>
  <si>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</si>
  <si>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</si>
  <si>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</si>
  <si>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</si>
  <si>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</si>
  <si>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</si>
  <si>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</si>
  <si>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</si>
  <si>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</si>
  <si>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</si>
  <si>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</si>
  <si>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</si>
  <si>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</si>
  <si>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</si>
  <si>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</si>
  <si>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</si>
  <si>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</si>
  <si>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</si>
  <si>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</si>
  <si>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</si>
  <si>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</si>
  <si>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</si>
  <si>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</si>
  <si>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</si>
  <si>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</si>
  <si>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</si>
  <si>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</si>
  <si>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</si>
  <si>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</si>
  <si>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</si>
  <si>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</si>
  <si>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</si>
  <si>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</si>
  <si>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</si>
  <si>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</si>
  <si>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</si>
  <si>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</si>
  <si>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</si>
  <si>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</si>
  <si>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</si>
  <si>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</si>
  <si>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</si>
  <si>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</si>
  <si>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</si>
  <si>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</si>
  <si>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</si>
  <si>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</si>
  <si>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</si>
  <si>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</si>
  <si>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</si>
  <si>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</si>
  <si>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</si>
  <si>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</si>
  <si>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</si>
  <si>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</si>
  <si>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</si>
  <si>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</si>
  <si>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</si>
  <si>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</si>
  <si>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</si>
  <si>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</si>
  <si>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</si>
  <si>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</si>
  <si>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</si>
  <si>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</si>
  <si>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</si>
  <si>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</si>
  <si>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</si>
  <si>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</si>
  <si>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</si>
  <si>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</si>
  <si>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</si>
  <si>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</si>
  <si>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</si>
  <si>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</si>
  <si>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</si>
  <si>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</si>
  <si>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</si>
  <si>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</si>
  <si>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</si>
  <si>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</si>
  <si>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</si>
  <si>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</si>
  <si>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</si>
  <si>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</si>
  <si>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</si>
  <si>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</si>
  <si>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</si>
  <si>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</si>
  <si>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</si>
  <si>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</si>
  <si>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</si>
  <si>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</si>
  <si>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</si>
  <si>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</si>
  <si>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</si>
  <si>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</si>
  <si>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</si>
  <si>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</si>
  <si>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</si>
  <si>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</si>
  <si>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</si>
  <si>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</si>
  <si>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</si>
  <si>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</si>
  <si>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</si>
  <si>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</si>
  <si>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</si>
  <si>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</si>
  <si>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</si>
  <si>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</si>
  <si>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</si>
  <si>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</si>
  <si>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</si>
  <si>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</si>
  <si>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</si>
  <si>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</si>
  <si>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</si>
  <si>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</si>
  <si>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</si>
  <si>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</si>
  <si>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</si>
  <si>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</si>
  <si>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</si>
  <si>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</si>
  <si>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</si>
  <si>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</si>
  <si>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</si>
  <si>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</si>
  <si>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</si>
  <si>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</si>
  <si>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</si>
  <si>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</si>
  <si>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</si>
  <si>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</si>
  <si>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</si>
  <si>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</si>
  <si>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</si>
  <si>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</si>
  <si>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</si>
  <si>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</si>
  <si>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</si>
  <si>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</si>
  <si>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</si>
  <si>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</si>
  <si>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</si>
  <si>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</si>
  <si>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</si>
  <si>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</si>
  <si>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</si>
  <si>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</si>
  <si>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</si>
  <si>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</si>
  <si>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</si>
  <si>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</si>
  <si>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</si>
  <si>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</si>
  <si>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</si>
  <si>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</si>
  <si>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</si>
  <si>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</si>
  <si>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</si>
  <si>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</si>
  <si>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</si>
  <si>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</si>
  <si>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</si>
  <si>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</si>
  <si>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</si>
  <si>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</si>
  <si>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</si>
  <si>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</si>
  <si>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</si>
  <si>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</si>
  <si>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</si>
  <si>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</si>
  <si>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</si>
  <si>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</si>
  <si>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</si>
  <si>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</si>
  <si>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</si>
  <si>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</si>
  <si>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</si>
  <si>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</si>
  <si>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</si>
  <si>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</si>
  <si>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</si>
  <si>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</si>
  <si>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</si>
  <si>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</si>
  <si>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</si>
  <si>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</si>
  <si>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</si>
  <si>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</si>
  <si>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</si>
  <si>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</si>
  <si>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</si>
  <si>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</si>
  <si>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</si>
  <si>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</si>
  <si>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</si>
  <si>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</si>
  <si>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</si>
  <si>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</si>
  <si>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</si>
  <si>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</si>
  <si>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</si>
  <si>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</si>
  <si>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</si>
  <si>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</si>
  <si>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</si>
  <si>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</si>
  <si>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</si>
  <si>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</si>
  <si>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</si>
  <si>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</si>
  <si>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</si>
  <si>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</si>
  <si>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</si>
  <si>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</si>
  <si>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</si>
  <si>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</si>
  <si>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</si>
  <si>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</si>
  <si>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</si>
  <si>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</si>
  <si>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</si>
  <si>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</si>
  <si>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</si>
  <si>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</si>
  <si>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</si>
  <si>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</si>
  <si>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</si>
  <si>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</si>
  <si>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</si>
  <si>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</si>
  <si>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</si>
  <si>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</si>
  <si>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</si>
  <si>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</si>
  <si>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</si>
  <si>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</si>
  <si>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</si>
  <si>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</si>
  <si>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</si>
  <si>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</si>
  <si>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</si>
  <si>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</si>
  <si>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</si>
  <si>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</si>
  <si>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</si>
  <si>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</si>
  <si>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</si>
  <si>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</si>
  <si>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</si>
  <si>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</si>
  <si>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</si>
  <si>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</si>
  <si>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</si>
  <si>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</si>
  <si>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</si>
  <si>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</si>
  <si>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</si>
  <si>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</si>
  <si>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</si>
  <si>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</si>
  <si>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</si>
  <si>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</si>
  <si>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</si>
  <si>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</si>
  <si>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</si>
  <si>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</si>
  <si>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</si>
  <si>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</si>
  <si>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</si>
  <si>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</si>
  <si>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</si>
  <si>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</si>
  <si>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</si>
  <si>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</si>
  <si>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</si>
  <si>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</si>
  <si>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</si>
  <si>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</si>
  <si>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</si>
  <si>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</si>
  <si>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</si>
  <si>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</si>
  <si>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</si>
  <si>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</si>
  <si>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</si>
  <si>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</si>
  <si>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</si>
  <si>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</si>
  <si>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</si>
  <si>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</si>
  <si>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</si>
  <si>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</si>
  <si>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</si>
  <si>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</si>
  <si>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</si>
  <si>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</si>
  <si>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</si>
  <si>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</si>
  <si>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</si>
  <si>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</si>
  <si>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</si>
  <si>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</si>
  <si>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</si>
  <si>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</si>
  <si>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</si>
  <si>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</si>
  <si>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</si>
  <si>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</si>
  <si>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</si>
  <si>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</si>
  <si>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</si>
  <si>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</si>
  <si>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</si>
  <si>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</si>
  <si>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</si>
  <si>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</si>
  <si>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</si>
  <si>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</si>
  <si>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</si>
  <si>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</si>
  <si>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</si>
  <si>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</si>
  <si>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</si>
  <si>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</si>
  <si>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</si>
  <si>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</si>
  <si>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</si>
  <si>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</si>
  <si>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</si>
  <si>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</si>
  <si>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</si>
  <si>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</si>
  <si>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</si>
  <si>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</si>
  <si>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</si>
  <si>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</si>
  <si>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</si>
  <si>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</si>
  <si>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</si>
  <si>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</si>
  <si>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</si>
  <si>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</si>
  <si>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</si>
  <si>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</si>
  <si>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</si>
  <si>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</si>
  <si>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</si>
  <si>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</si>
  <si>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</si>
  <si>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</si>
  <si>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</si>
  <si>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</si>
  <si>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</si>
  <si>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</si>
  <si>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</si>
  <si>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</si>
  <si>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</si>
  <si>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</si>
  <si>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</si>
  <si>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</si>
  <si>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</si>
  <si>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</si>
  <si>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</si>
  <si>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</si>
  <si>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</si>
  <si>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</si>
  <si>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</si>
  <si>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</si>
  <si>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</si>
  <si>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</si>
  <si>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</si>
  <si>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</si>
  <si>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</si>
  <si>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</si>
  <si>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</si>
  <si>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</si>
  <si>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</si>
  <si>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</si>
  <si>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</si>
  <si>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</si>
  <si>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</si>
  <si>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</si>
  <si>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</si>
  <si>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</si>
  <si>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</si>
  <si>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</si>
  <si>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</si>
  <si>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</si>
  <si>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</si>
  <si>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</si>
  <si>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</si>
  <si>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</si>
  <si>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</si>
  <si>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</si>
  <si>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</si>
  <si>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</si>
  <si>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</si>
  <si>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</si>
  <si>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</si>
  <si>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</si>
  <si>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</si>
  <si>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</si>
  <si>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</si>
  <si>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</si>
  <si>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</si>
  <si>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</si>
  <si>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</si>
  <si>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</si>
  <si>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</si>
  <si>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</si>
  <si>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</si>
  <si>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</si>
  <si>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</si>
  <si>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</si>
  <si>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</si>
  <si>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</si>
  <si>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</si>
  <si>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</si>
  <si>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</si>
  <si>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</si>
  <si>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</si>
  <si>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</si>
  <si>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</si>
  <si>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</si>
  <si>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</si>
  <si>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</si>
  <si>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</si>
  <si>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</si>
  <si>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</si>
  <si>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</si>
  <si>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</si>
  <si>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</si>
  <si>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</si>
  <si>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</si>
  <si>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</si>
  <si>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</si>
  <si>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</si>
  <si>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</si>
  <si>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</si>
  <si>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</si>
  <si>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</si>
  <si>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</si>
  <si>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</si>
  <si>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</si>
  <si>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</si>
  <si>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</si>
  <si>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</si>
  <si>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</si>
  <si>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</si>
  <si>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</si>
  <si>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</si>
  <si>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</si>
  <si>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</si>
  <si>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</si>
  <si>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</si>
  <si>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</si>
  <si>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</si>
  <si>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</si>
  <si>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</si>
  <si>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</si>
  <si>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</si>
  <si>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</si>
  <si>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</si>
  <si>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</si>
  <si>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</si>
  <si>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</si>
  <si>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</si>
  <si>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</si>
  <si>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</si>
  <si>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</si>
  <si>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</si>
  <si>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</si>
  <si>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</si>
  <si>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</si>
  <si>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</si>
  <si>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</si>
  <si>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</si>
  <si>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</si>
  <si>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</si>
  <si>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</si>
  <si>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</si>
  <si>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</si>
  <si>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</si>
  <si>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</si>
  <si>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</si>
  <si>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</si>
  <si>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</si>
  <si>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</si>
  <si>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</si>
  <si>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</si>
  <si>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</si>
  <si>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</si>
  <si>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</si>
  <si>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</si>
  <si>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</si>
  <si>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</si>
  <si>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</si>
  <si>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</si>
  <si>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</si>
  <si>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</si>
  <si>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</si>
  <si>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</si>
  <si>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</si>
  <si>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</si>
  <si>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</si>
  <si>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</si>
  <si>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</si>
  <si>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</si>
  <si>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</si>
  <si>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</si>
  <si>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</si>
  <si>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</si>
  <si>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</si>
  <si>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</si>
  <si>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</si>
  <si>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</si>
  <si>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</si>
  <si>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</si>
  <si>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</si>
  <si>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</si>
  <si>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</si>
  <si>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</si>
  <si>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</si>
  <si>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</si>
  <si>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</si>
  <si>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</si>
  <si>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</si>
  <si>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</si>
  <si>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</si>
  <si>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</si>
  <si>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</si>
  <si>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</si>
  <si>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</si>
  <si>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</si>
  <si>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</si>
  <si>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</si>
  <si>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</si>
  <si>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</si>
  <si>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</si>
  <si>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</si>
  <si>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</si>
  <si>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</si>
  <si>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</si>
  <si>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</si>
  <si>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</si>
  <si>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</si>
  <si>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</si>
  <si>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</si>
  <si>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</si>
  <si>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</si>
  <si>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</si>
  <si>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</si>
  <si>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</si>
  <si>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</si>
  <si>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</si>
  <si>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</si>
  <si>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</si>
  <si>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</si>
  <si>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</si>
  <si>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</si>
  <si>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</si>
  <si>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</si>
  <si>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</si>
  <si>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</si>
  <si>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</si>
  <si>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</si>
  <si>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</si>
  <si>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</si>
  <si>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</si>
  <si>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</si>
  <si>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</si>
  <si>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</si>
  <si>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</si>
  <si>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</si>
  <si>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</si>
  <si>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</si>
  <si>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</si>
  <si>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</si>
  <si>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</si>
  <si>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</si>
  <si>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</si>
  <si>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</si>
  <si>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</si>
  <si>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</si>
  <si>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</si>
  <si>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</si>
  <si>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</si>
  <si>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</si>
  <si>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</si>
  <si>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</si>
  <si>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</si>
  <si>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</si>
  <si>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</si>
  <si>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</si>
  <si>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</si>
  <si>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</si>
  <si>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</si>
  <si>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</si>
  <si>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</si>
  <si>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</si>
  <si>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</si>
  <si>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</si>
  <si>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</si>
  <si>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</si>
  <si>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</si>
  <si>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</si>
  <si>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</si>
  <si>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</si>
  <si>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</si>
  <si>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</si>
  <si>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</si>
  <si>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</si>
  <si>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</si>
  <si>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</si>
  <si>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</si>
  <si>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</si>
  <si>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</si>
  <si>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</si>
  <si>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</si>
  <si>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</si>
  <si>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</si>
  <si>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</si>
  <si>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</si>
  <si>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</si>
  <si>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</si>
  <si>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</si>
  <si>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</si>
  <si>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</si>
  <si>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</si>
  <si>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</si>
  <si>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</si>
  <si>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</si>
  <si>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</si>
  <si>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</si>
  <si>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</si>
  <si>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</si>
  <si>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</si>
  <si>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</si>
  <si>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</si>
  <si>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</si>
  <si>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</si>
  <si>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</si>
  <si>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</si>
  <si>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</si>
  <si>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</si>
  <si>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</si>
  <si>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</si>
  <si>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</si>
  <si>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</si>
  <si>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</si>
  <si>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</si>
  <si>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</si>
  <si>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</si>
  <si>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</si>
  <si>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</si>
  <si>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</si>
  <si>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</si>
  <si>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</si>
  <si>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</si>
  <si>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</si>
  <si>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</si>
  <si>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</si>
  <si>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</si>
  <si>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</si>
  <si>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</si>
  <si>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</si>
  <si>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</si>
  <si>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</si>
  <si>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</si>
  <si>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</si>
  <si>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</si>
  <si>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</si>
  <si>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</si>
  <si>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</si>
  <si>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</si>
  <si>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</si>
  <si>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</si>
  <si>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</si>
  <si>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</si>
  <si>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</si>
  <si>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</si>
  <si>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</si>
  <si>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</si>
  <si>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</si>
  <si>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</si>
  <si>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</si>
  <si>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</si>
  <si>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</si>
  <si>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</si>
  <si>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</si>
  <si>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</si>
  <si>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</si>
  <si>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</si>
  <si>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</si>
  <si>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</si>
  <si>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</si>
  <si>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</si>
  <si>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</si>
  <si>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</si>
  <si>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</si>
  <si>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</si>
  <si>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</si>
  <si>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</si>
  <si>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</si>
  <si>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</si>
  <si>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</si>
  <si>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</si>
  <si>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</si>
  <si>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</si>
  <si>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</si>
  <si>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</si>
  <si>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</si>
  <si>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</si>
  <si>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</si>
  <si>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</si>
  <si>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</si>
  <si>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</si>
  <si>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</si>
  <si>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</si>
  <si>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</si>
  <si>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</si>
  <si>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</si>
  <si>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</si>
  <si>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</si>
  <si>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</si>
  <si>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</si>
  <si>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</si>
  <si>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</si>
  <si>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</si>
  <si>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</si>
  <si>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</si>
  <si>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</si>
  <si>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</si>
  <si>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</si>
  <si>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</si>
  <si>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</si>
  <si>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</si>
  <si>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</si>
  <si>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</si>
  <si>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</si>
  <si>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</si>
  <si>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</si>
  <si>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</si>
  <si>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</si>
  <si>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</si>
  <si>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</si>
  <si>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</si>
  <si>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</si>
  <si>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</si>
  <si>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</si>
  <si>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</si>
  <si>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</si>
  <si>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</si>
  <si>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</si>
  <si>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</si>
  <si>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</si>
  <si>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</si>
  <si>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</si>
  <si>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</si>
  <si>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</si>
  <si>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</si>
  <si>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</si>
  <si>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</si>
  <si>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</si>
  <si>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</si>
  <si>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</si>
  <si>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</si>
  <si>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</si>
  <si>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</si>
  <si>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</si>
  <si>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</si>
  <si>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</si>
  <si>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</si>
  <si>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</si>
  <si>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</si>
  <si>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</si>
  <si>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</si>
  <si>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</si>
  <si>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</si>
  <si>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</si>
  <si>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</si>
  <si>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</si>
  <si>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</si>
  <si>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</si>
  <si>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</si>
  <si>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</si>
  <si>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</si>
  <si>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</si>
  <si>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</si>
  <si>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</si>
  <si>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</si>
  <si>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</si>
  <si>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</si>
  <si>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</si>
  <si>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</si>
  <si>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</si>
  <si>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</si>
  <si>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</si>
  <si>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</si>
  <si>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</si>
  <si>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</si>
  <si>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</si>
  <si>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</si>
  <si>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</si>
  <si>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</si>
  <si>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</si>
  <si>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</si>
  <si>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</si>
  <si>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</si>
  <si>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</si>
  <si>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</si>
  <si>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</si>
  <si>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</si>
  <si>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</si>
  <si>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</si>
  <si>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</si>
  <si>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</si>
  <si>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</si>
  <si>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</si>
  <si>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</si>
  <si>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</si>
  <si>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</si>
  <si>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</si>
  <si>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</si>
  <si>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</si>
  <si>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</si>
  <si>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</si>
  <si>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</si>
  <si>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</si>
  <si>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</si>
  <si>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</si>
  <si>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</si>
  <si>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</si>
  <si>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</si>
  <si>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</si>
  <si>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</si>
  <si>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</si>
  <si>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</si>
  <si>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</si>
  <si>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</si>
  <si>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</si>
  <si>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</si>
  <si>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</si>
  <si>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</si>
  <si>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</si>
  <si>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</si>
  <si>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</si>
  <si>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</si>
  <si>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</si>
  <si>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</si>
  <si>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</si>
  <si>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</si>
  <si>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</si>
  <si>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</si>
  <si>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</si>
  <si>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</si>
  <si>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</si>
  <si>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</si>
  <si>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</si>
  <si>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</si>
  <si>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</si>
  <si>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</si>
  <si>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</si>
  <si>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</si>
  <si>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</si>
  <si>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</si>
  <si>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</si>
  <si>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</si>
  <si>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</si>
  <si>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</si>
  <si>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</si>
  <si>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</si>
  <si>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</si>
  <si>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</si>
  <si>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</si>
  <si>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</si>
  <si>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</si>
  <si>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</si>
  <si>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</si>
  <si>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</si>
  <si>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</si>
  <si>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</si>
  <si>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</si>
  <si>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</si>
  <si>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</si>
  <si>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</si>
  <si>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</si>
  <si>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</si>
  <si>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</si>
  <si>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</si>
  <si>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</si>
  <si>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</si>
  <si>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</si>
  <si>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</si>
  <si>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</si>
  <si>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</si>
  <si>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</si>
  <si>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</si>
  <si>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</si>
  <si>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</si>
  <si>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</si>
  <si>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</si>
  <si>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</si>
  <si>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</si>
  <si>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</si>
  <si>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</si>
  <si>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</si>
  <si>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</si>
  <si>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</si>
  <si>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</si>
  <si>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</si>
  <si>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</si>
  <si>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</si>
  <si>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</si>
  <si>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</si>
  <si>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</si>
  <si>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</si>
  <si>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</si>
  <si>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</si>
  <si>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</si>
  <si>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</si>
  <si>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</si>
  <si>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</si>
  <si>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</si>
  <si>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</si>
  <si>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</si>
  <si>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</si>
  <si>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</si>
  <si>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</si>
  <si>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</si>
  <si>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</si>
  <si>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</si>
  <si>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</si>
  <si>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</si>
  <si>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</si>
  <si>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</si>
  <si>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</si>
  <si>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</si>
  <si>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</si>
  <si>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</si>
  <si>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</si>
  <si>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</si>
  <si>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</si>
  <si>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</si>
  <si>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</si>
  <si>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</si>
  <si>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</si>
  <si>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</si>
  <si>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</si>
  <si>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</si>
  <si>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</si>
  <si>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</si>
  <si>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</si>
  <si>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</si>
  <si>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</si>
  <si>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</si>
  <si>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</si>
  <si>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</si>
  <si>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</si>
  <si>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</si>
  <si>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</si>
  <si>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</si>
  <si>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</si>
  <si>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</si>
  <si>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</si>
  <si>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</si>
  <si>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</si>
  <si>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</si>
  <si>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</si>
  <si>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</si>
  <si>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</si>
  <si>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</si>
  <si>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</si>
  <si>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</si>
  <si>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</si>
  <si>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</si>
  <si>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</si>
  <si>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</si>
  <si>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</si>
  <si>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</si>
  <si>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</si>
  <si>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</si>
  <si>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</si>
  <si>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</si>
  <si>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</si>
  <si>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</si>
  <si>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</si>
  <si>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</si>
  <si>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</si>
  <si>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</si>
  <si>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</si>
  <si>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</si>
  <si>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</si>
  <si>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</si>
  <si>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</si>
  <si>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</si>
  <si>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</si>
  <si>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</si>
  <si>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</si>
  <si>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</si>
  <si>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</si>
  <si>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</si>
  <si>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</si>
  <si>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</si>
  <si>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</si>
  <si>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</si>
  <si>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</si>
  <si>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</si>
  <si>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</si>
  <si>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</si>
  <si>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</si>
  <si>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</si>
  <si>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</si>
  <si>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</si>
  <si>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</si>
  <si>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</si>
  <si>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</si>
  <si>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</si>
  <si>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</si>
  <si>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</si>
  <si>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</si>
  <si>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</si>
  <si>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</si>
  <si>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</si>
  <si>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</si>
  <si>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</si>
  <si>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</si>
  <si>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</si>
  <si>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</si>
  <si>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</si>
  <si>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</si>
  <si>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</si>
  <si>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</si>
  <si>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</si>
  <si>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</si>
  <si>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</si>
  <si>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</si>
  <si>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</si>
  <si>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</si>
  <si>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</si>
  <si>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</si>
  <si>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</si>
  <si>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</si>
  <si>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</si>
  <si>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</si>
  <si>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</si>
  <si>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</si>
  <si>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</si>
  <si>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</si>
  <si>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</si>
  <si>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</si>
  <si>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</si>
  <si>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</si>
  <si>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</si>
  <si>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</si>
  <si>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</si>
  <si>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</si>
  <si>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</si>
  <si>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</si>
  <si>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</si>
  <si>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</si>
  <si>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</si>
  <si>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</si>
  <si>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</si>
  <si>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</si>
  <si>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</si>
  <si>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</si>
  <si>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</si>
  <si>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</si>
  <si>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</si>
  <si>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</si>
  <si>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</si>
  <si>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</si>
  <si>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</si>
  <si>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</si>
  <si>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</si>
  <si>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</si>
  <si>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</si>
  <si>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</si>
  <si>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</si>
  <si>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</si>
  <si>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</si>
  <si>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</si>
  <si>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</si>
  <si>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</si>
  <si>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</si>
  <si>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</si>
  <si>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</si>
  <si>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</si>
  <si>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</si>
  <si>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</si>
  <si>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</si>
  <si>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</si>
  <si>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</si>
  <si>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</si>
  <si>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</si>
  <si>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</si>
  <si>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</si>
  <si>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</si>
  <si>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</si>
  <si>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</si>
  <si>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</si>
  <si>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</si>
  <si>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</si>
  <si>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</si>
  <si>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</si>
  <si>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</si>
  <si>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</si>
  <si>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</si>
  <si>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</si>
  <si>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</si>
  <si>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</si>
  <si>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</si>
  <si>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</si>
  <si>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</si>
  <si>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</si>
  <si>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</si>
  <si>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</si>
  <si>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</si>
  <si>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</si>
  <si>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</si>
  <si>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</si>
  <si>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</si>
  <si>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</si>
  <si>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</si>
  <si>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</si>
  <si>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</si>
  <si>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</si>
  <si>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</si>
  <si>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</si>
  <si>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</si>
  <si>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</si>
  <si>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</si>
  <si>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</si>
  <si>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</si>
  <si>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</si>
  <si>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</si>
  <si>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</si>
  <si>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</si>
  <si>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</si>
  <si>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</si>
  <si>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</si>
  <si>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</si>
  <si>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</si>
  <si>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</si>
  <si>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</si>
  <si>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</si>
  <si>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</si>
  <si>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</si>
  <si>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</si>
  <si>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</si>
  <si>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</si>
  <si>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</si>
  <si>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</si>
  <si>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</si>
  <si>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</si>
  <si>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</si>
  <si>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</si>
  <si>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</si>
  <si>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</si>
  <si>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</si>
  <si>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</si>
  <si>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</si>
  <si>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</si>
  <si>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</si>
  <si>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</si>
  <si>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</si>
  <si>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</si>
  <si>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</si>
  <si>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</si>
  <si>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</si>
  <si>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</si>
  <si>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</si>
  <si>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</si>
  <si>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</si>
  <si>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</si>
  <si>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</si>
  <si>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</si>
  <si>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</si>
  <si>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</si>
  <si>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</si>
  <si>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</si>
  <si>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</si>
  <si>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</si>
  <si>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</si>
  <si>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</si>
  <si>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</si>
  <si>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</si>
  <si>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</si>
  <si>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</si>
  <si>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</si>
  <si>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</si>
  <si>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</si>
  <si>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</si>
  <si>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</si>
  <si>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</si>
  <si>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</si>
  <si>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</si>
  <si>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</si>
  <si>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</si>
  <si>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</si>
  <si>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</si>
  <si>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</si>
  <si>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</si>
  <si>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</si>
  <si>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</si>
  <si>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</si>
  <si>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</si>
  <si>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</si>
  <si>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</si>
  <si>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</si>
  <si>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</si>
  <si>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</si>
  <si>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</si>
  <si>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</si>
  <si>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</si>
  <si>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</si>
  <si>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</si>
  <si>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</si>
  <si>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</si>
  <si>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</si>
  <si>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</si>
  <si>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</si>
  <si>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</si>
  <si>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</si>
  <si>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</si>
  <si>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</si>
  <si>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</si>
  <si>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</si>
  <si>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</si>
  <si>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</si>
  <si>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</si>
  <si>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</si>
  <si>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</si>
  <si>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</si>
  <si>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</si>
  <si>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</si>
  <si>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</si>
  <si>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</si>
  <si>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</si>
  <si>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</si>
  <si>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</si>
  <si>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</si>
  <si>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</si>
  <si>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</si>
  <si>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</si>
  <si>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</si>
  <si>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</si>
  <si>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</si>
  <si>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</si>
  <si>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</si>
  <si>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</si>
  <si>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</si>
  <si>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</si>
  <si>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</si>
  <si>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</si>
  <si>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</si>
  <si>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</si>
  <si>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</si>
  <si>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</si>
  <si>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</si>
  <si>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</si>
  <si>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</si>
  <si>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</si>
  <si>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</si>
  <si>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</si>
  <si>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</si>
  <si>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</si>
  <si>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</si>
  <si>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</si>
  <si>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</si>
  <si>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</si>
  <si>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</si>
  <si>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</si>
  <si>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</si>
  <si>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</si>
  <si>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</si>
  <si>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</si>
  <si>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</si>
  <si>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</si>
  <si>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</si>
  <si>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</si>
  <si>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</si>
  <si>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</si>
  <si>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</si>
  <si>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</si>
  <si>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</si>
  <si>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</si>
  <si>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</si>
  <si>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</si>
  <si>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</si>
  <si>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</si>
  <si>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</si>
  <si>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</si>
  <si>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</si>
  <si>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</si>
  <si>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</si>
  <si>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</si>
  <si>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</si>
  <si>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</si>
  <si>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</si>
  <si>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</si>
  <si>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</si>
  <si>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</si>
  <si>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</si>
  <si>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</si>
  <si>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</si>
  <si>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</si>
  <si>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</si>
  <si>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</si>
  <si>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</si>
  <si>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</si>
  <si>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</si>
  <si>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</si>
  <si>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</si>
  <si>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</si>
  <si>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</si>
  <si>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</si>
  <si>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</si>
  <si>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</si>
  <si>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</si>
  <si>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</si>
  <si>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</si>
  <si>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</si>
  <si>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</si>
  <si>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</si>
  <si>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</si>
  <si>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</si>
  <si>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</si>
  <si>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</si>
  <si>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</si>
  <si>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</si>
  <si>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</si>
  <si>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</si>
  <si>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</si>
  <si>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</si>
  <si>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</si>
  <si>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</si>
  <si>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</si>
  <si>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</si>
  <si>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</si>
  <si>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</si>
  <si>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</si>
  <si>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</si>
  <si>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</si>
  <si>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</si>
  <si>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</si>
  <si>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</si>
  <si>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</si>
  <si>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</si>
  <si>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</si>
  <si>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</si>
  <si>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</si>
  <si>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</si>
  <si>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</si>
  <si>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</si>
  <si>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</si>
  <si>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</si>
  <si>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</si>
  <si>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</si>
  <si>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</si>
  <si>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</si>
  <si>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</si>
  <si>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</si>
  <si>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</si>
  <si>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</si>
  <si>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</si>
  <si>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</si>
  <si>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</si>
  <si>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</si>
  <si>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</si>
  <si>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</si>
  <si>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</si>
  <si>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</si>
  <si>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</si>
  <si>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</si>
  <si>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</si>
  <si>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</si>
  <si>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</si>
  <si>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</si>
  <si>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</si>
  <si>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</si>
  <si>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</si>
  <si>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</si>
  <si>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</si>
  <si>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</si>
  <si>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</si>
  <si>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</si>
  <si>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</si>
  <si>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</si>
  <si>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</si>
  <si>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</si>
  <si>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</si>
  <si>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</si>
  <si>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</si>
  <si>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</si>
  <si>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</si>
  <si>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</si>
  <si>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</si>
  <si>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</si>
  <si>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</si>
  <si>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</si>
  <si>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</si>
  <si>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</si>
  <si>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</si>
  <si>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</si>
  <si>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</si>
  <si>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</si>
  <si>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</si>
  <si>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</si>
  <si>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</si>
  <si>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</si>
  <si>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</si>
  <si>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</si>
  <si>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</si>
  <si>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</si>
  <si>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</si>
  <si>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</si>
  <si>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</si>
  <si>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</si>
  <si>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</si>
  <si>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</si>
  <si>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</si>
  <si>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</si>
  <si>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</si>
  <si>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</si>
  <si>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</si>
  <si>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</si>
  <si>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</si>
  <si>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</si>
  <si>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</si>
  <si>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</si>
  <si>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</si>
  <si>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</si>
  <si>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</si>
  <si>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</si>
  <si>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</si>
  <si>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</si>
  <si>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</si>
  <si>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</si>
  <si>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</si>
  <si>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</si>
  <si>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</si>
  <si>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</si>
  <si>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</si>
  <si>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</si>
  <si>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</si>
  <si>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</si>
  <si>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</si>
  <si>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</si>
  <si>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</si>
  <si>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</si>
  <si>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</si>
  <si>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</si>
  <si>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</si>
  <si>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</si>
  <si>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</si>
  <si>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</si>
  <si>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</si>
  <si>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</si>
  <si>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</si>
  <si>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</si>
  <si>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</si>
  <si>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</si>
  <si>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</si>
  <si>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</si>
  <si>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</si>
  <si>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</si>
  <si>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</si>
  <si>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</si>
  <si>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</si>
  <si>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</si>
  <si>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</si>
  <si>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</si>
  <si>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</si>
  <si>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</si>
  <si>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</si>
  <si>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</si>
  <si>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</si>
  <si>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</si>
  <si>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</si>
  <si>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</si>
  <si>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</si>
  <si>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</si>
  <si>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</si>
  <si>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</si>
  <si>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</si>
  <si>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</si>
  <si>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</si>
  <si>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</si>
  <si>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</si>
  <si>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</si>
  <si>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</si>
  <si>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</si>
  <si>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</si>
  <si>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</si>
  <si>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</si>
  <si>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</si>
  <si>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</si>
  <si>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</si>
  <si>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</si>
  <si>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</si>
  <si>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</si>
  <si>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</si>
  <si>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</si>
  <si>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</si>
  <si>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</si>
  <si>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</si>
  <si>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</si>
  <si>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</si>
  <si>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</si>
  <si>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</si>
  <si>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</si>
  <si>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</si>
  <si>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</si>
  <si>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</si>
  <si>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</si>
  <si>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</si>
  <si>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</si>
  <si>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</si>
  <si>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</si>
  <si>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</si>
  <si>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</si>
  <si>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</si>
  <si>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</si>
  <si>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</si>
  <si>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</si>
  <si>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</si>
  <si>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</si>
  <si>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</si>
  <si>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</si>
  <si>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</si>
  <si>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</si>
  <si>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</si>
  <si>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</si>
  <si>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</si>
  <si>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</si>
  <si>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</si>
  <si>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</si>
  <si>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</si>
  <si>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</si>
  <si>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</si>
  <si>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</si>
  <si>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</si>
  <si>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</si>
  <si>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</si>
  <si>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</si>
  <si>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</si>
  <si>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</si>
  <si>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</si>
  <si>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</si>
  <si>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</si>
  <si>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</si>
  <si>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</si>
  <si>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</si>
  <si>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</si>
  <si>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</si>
  <si>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</si>
  <si>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</si>
  <si>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</si>
  <si>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</si>
  <si>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</si>
  <si>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</si>
  <si>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</si>
  <si>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</si>
  <si>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</si>
  <si>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</si>
  <si>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</si>
  <si>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</si>
  <si>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</si>
  <si>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</si>
  <si>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</si>
  <si>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</si>
  <si>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</si>
  <si>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</si>
  <si>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</si>
  <si>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</si>
  <si>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</si>
  <si>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</si>
  <si>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</si>
  <si>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</si>
  <si>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</si>
  <si>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</si>
  <si>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</si>
  <si>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</si>
  <si>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</si>
  <si>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</si>
  <si>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</si>
  <si>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</si>
  <si>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</si>
  <si>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</si>
  <si>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</si>
  <si>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</si>
  <si>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</si>
  <si>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</si>
  <si>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</si>
  <si>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</si>
  <si>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</si>
  <si>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</si>
  <si>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</si>
  <si>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</si>
  <si>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</si>
  <si>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</si>
  <si>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</si>
  <si>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</si>
  <si>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</si>
  <si>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</si>
  <si>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</si>
  <si>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</si>
  <si>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</si>
  <si>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</si>
  <si>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</si>
  <si>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</si>
  <si>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</si>
  <si>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</si>
  <si>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</si>
  <si>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</si>
  <si>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</si>
  <si>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</si>
  <si>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</si>
  <si>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</si>
  <si>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</si>
  <si>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</si>
  <si>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</si>
  <si>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</si>
  <si>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</si>
  <si>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</si>
  <si>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</si>
  <si>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</si>
  <si>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</si>
  <si>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</si>
  <si>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</si>
  <si>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</si>
  <si>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</si>
  <si>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</si>
  <si>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</si>
  <si>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</si>
  <si>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</si>
  <si>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</si>
  <si>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</si>
  <si>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</si>
  <si>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</si>
  <si>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</si>
  <si>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</si>
  <si>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</si>
  <si>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</si>
  <si>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</si>
  <si>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</si>
  <si>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</si>
  <si>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</si>
  <si>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</si>
  <si>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</si>
  <si>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</si>
  <si>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</si>
  <si>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</si>
  <si>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</si>
  <si>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</si>
  <si>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</si>
  <si>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</si>
  <si>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</si>
  <si>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</si>
  <si>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</si>
  <si>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</si>
  <si>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</si>
  <si>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</si>
  <si>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</si>
  <si>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</si>
  <si>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</si>
  <si>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</si>
  <si>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</si>
  <si>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</si>
  <si>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</si>
  <si>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</si>
  <si>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</si>
  <si>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</si>
  <si>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</si>
  <si>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</si>
  <si>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</si>
  <si>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</si>
  <si>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</si>
  <si>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</si>
  <si>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</si>
  <si>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</si>
  <si>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</si>
  <si>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</si>
  <si>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</si>
  <si>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</si>
  <si>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</si>
  <si>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</si>
  <si>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</si>
  <si>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</si>
  <si>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</si>
  <si>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</si>
  <si>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</si>
  <si>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</si>
  <si>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</si>
  <si>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</si>
  <si>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</si>
  <si>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</si>
  <si>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</si>
  <si>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</si>
  <si>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</si>
  <si>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</si>
  <si>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</si>
  <si>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</si>
  <si>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</si>
  <si>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</si>
  <si>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</si>
  <si>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</si>
  <si>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</si>
  <si>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</si>
  <si>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</si>
  <si>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</si>
  <si>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</si>
  <si>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</si>
  <si>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</si>
  <si>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</si>
  <si>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</si>
  <si>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</si>
  <si>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</si>
  <si>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</si>
  <si>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</si>
  <si>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</si>
  <si>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</si>
  <si>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</si>
  <si>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</si>
  <si>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</si>
  <si>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</si>
  <si>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</si>
  <si>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</si>
  <si>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</si>
  <si>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</si>
  <si>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</si>
  <si>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</si>
  <si>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</si>
  <si>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</si>
  <si>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</si>
  <si>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</si>
  <si>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</si>
  <si>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</si>
  <si>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</si>
  <si>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</si>
  <si>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</si>
  <si>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</si>
  <si>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</si>
  <si>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</si>
  <si>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</si>
  <si>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</si>
  <si>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</si>
  <si>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</si>
  <si>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</si>
  <si>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</si>
  <si>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</si>
  <si>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</si>
  <si>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</si>
  <si>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</si>
  <si>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</si>
  <si>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</si>
  <si>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</si>
  <si>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</si>
  <si>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</si>
  <si>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</si>
  <si>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</si>
  <si>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</si>
  <si>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</si>
  <si>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</si>
  <si>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</si>
  <si>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</si>
  <si>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</si>
  <si>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</si>
  <si>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</si>
  <si>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</si>
  <si>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</si>
  <si>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</si>
  <si>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</si>
  <si>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</si>
  <si>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</si>
  <si>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</si>
  <si>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</si>
  <si>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</si>
  <si>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</si>
  <si>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</si>
  <si>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</si>
  <si>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</si>
  <si>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</si>
  <si>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</si>
  <si>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</si>
  <si>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</si>
  <si>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</si>
  <si>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</si>
  <si>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</si>
  <si>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</si>
  <si>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</si>
  <si>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</si>
  <si>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</si>
  <si>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</si>
  <si>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</si>
  <si>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</si>
  <si>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</si>
  <si>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</si>
  <si>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</si>
  <si>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</si>
  <si>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</si>
  <si>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</si>
  <si>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</si>
  <si>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</si>
  <si>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</si>
  <si>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</si>
  <si>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</si>
  <si>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</si>
  <si>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</si>
  <si>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</si>
  <si>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</si>
  <si>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</si>
  <si>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</si>
  <si>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</si>
  <si>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</si>
  <si>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</si>
  <si>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</si>
  <si>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</si>
  <si>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</si>
  <si>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</si>
  <si>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</si>
  <si>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</si>
  <si>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</si>
  <si>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</si>
  <si>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</si>
  <si>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</si>
  <si>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</si>
  <si>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</si>
  <si>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</si>
  <si>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</si>
  <si>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</si>
  <si>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</si>
  <si>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</si>
  <si>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</si>
  <si>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</si>
  <si>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</si>
  <si>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</si>
  <si>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</si>
  <si>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</si>
  <si>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</si>
  <si>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</si>
  <si>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</si>
  <si>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</si>
  <si>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</si>
  <si>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</si>
  <si>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</si>
  <si>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</si>
  <si>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</si>
  <si>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</si>
  <si>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</si>
  <si>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</si>
  <si>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</si>
  <si>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</si>
  <si>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</si>
  <si>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</si>
  <si>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</si>
  <si>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</si>
  <si>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</si>
  <si>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</si>
  <si>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</si>
  <si>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</si>
  <si>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</si>
  <si>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</si>
  <si>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</si>
  <si>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</si>
  <si>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</si>
  <si>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</si>
  <si>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</si>
  <si>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</si>
  <si>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</si>
  <si>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</si>
  <si>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</si>
  <si>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</si>
  <si>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</si>
  <si>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</si>
  <si>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</si>
  <si>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</si>
  <si>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</si>
  <si>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</si>
  <si>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</si>
  <si>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</si>
  <si>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</si>
  <si>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</si>
  <si>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</si>
  <si>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</si>
  <si>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</si>
  <si>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</si>
  <si>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</si>
  <si>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</si>
  <si>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</si>
  <si>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</si>
  <si>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</si>
  <si>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</si>
  <si>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</si>
  <si>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</si>
  <si>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</si>
  <si>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</si>
  <si>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</si>
  <si>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</si>
  <si>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</si>
  <si>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</si>
  <si>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</si>
  <si>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</si>
  <si>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</si>
  <si>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</si>
  <si>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</si>
  <si>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</si>
  <si>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</si>
  <si>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</si>
  <si>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</si>
  <si>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</si>
  <si>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</si>
  <si>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</si>
  <si>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</si>
  <si>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</si>
  <si>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</si>
  <si>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</si>
  <si>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</si>
  <si>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</si>
  <si>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</si>
  <si>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</si>
  <si>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</si>
  <si>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</si>
  <si>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</si>
  <si>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</si>
  <si>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</si>
  <si>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</si>
  <si>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</si>
  <si>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</si>
  <si>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</si>
  <si>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</si>
  <si>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</si>
  <si>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</si>
  <si>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</si>
  <si>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</si>
  <si>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</si>
  <si>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</si>
  <si>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</si>
  <si>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</si>
  <si>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</si>
  <si>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</si>
  <si>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</si>
  <si>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</si>
  <si>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</si>
  <si>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</si>
  <si>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</si>
  <si>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</si>
  <si>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</si>
  <si>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</si>
  <si>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</si>
  <si>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</si>
  <si>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</si>
  <si>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</si>
  <si>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</si>
  <si>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</si>
  <si>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</si>
  <si>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</si>
  <si>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</si>
  <si>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</si>
  <si>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</si>
  <si>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</si>
  <si>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</si>
  <si>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</si>
  <si>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</si>
  <si>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</si>
  <si>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</si>
  <si>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</si>
  <si>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</si>
  <si>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</si>
  <si>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</si>
  <si>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</si>
  <si>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</si>
  <si>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</si>
  <si>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</si>
  <si>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</si>
  <si>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</si>
  <si>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</si>
  <si>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</si>
  <si>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</si>
  <si>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</si>
  <si>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</si>
  <si>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</si>
  <si>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</si>
  <si>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</si>
  <si>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</si>
  <si>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</si>
  <si>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</si>
  <si>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</si>
  <si>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</si>
  <si>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</si>
  <si>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</si>
  <si>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</si>
  <si>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</si>
  <si>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</si>
  <si>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</si>
  <si>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</si>
  <si>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</si>
  <si>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</si>
  <si>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</si>
  <si>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</si>
  <si>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</si>
  <si>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</si>
  <si>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</si>
  <si>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</si>
  <si>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</si>
  <si>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</si>
  <si>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</si>
  <si>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</si>
  <si>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</si>
  <si>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</si>
  <si>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</si>
  <si>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</si>
  <si>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</si>
  <si>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</si>
  <si>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</si>
  <si>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</si>
  <si>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</si>
  <si>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</si>
  <si>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</si>
  <si>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</si>
  <si>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</si>
  <si>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</si>
  <si>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</si>
  <si>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</si>
  <si>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</si>
  <si>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</si>
  <si>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</si>
  <si>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</si>
  <si>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</si>
  <si>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</si>
  <si>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</si>
  <si>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</si>
  <si>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</si>
  <si>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</si>
  <si>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</si>
  <si>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</si>
  <si>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</si>
  <si>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</si>
  <si>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</si>
  <si>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</si>
  <si>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</si>
  <si>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</si>
  <si>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</si>
  <si>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</si>
  <si>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</si>
  <si>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</si>
  <si>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</si>
  <si>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</si>
  <si>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</si>
  <si>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</si>
  <si>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</si>
  <si>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</si>
  <si>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</si>
  <si>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</si>
  <si>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</si>
  <si>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</si>
  <si>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</si>
  <si>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</si>
  <si>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</si>
  <si>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</si>
  <si>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</si>
  <si>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</si>
  <si>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</si>
  <si>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</si>
  <si>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</si>
  <si>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</si>
  <si>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</si>
  <si>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</si>
  <si>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</si>
  <si>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</si>
  <si>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</si>
  <si>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</si>
  <si>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</si>
  <si>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</si>
  <si>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</si>
  <si>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</si>
  <si>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</si>
  <si>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</si>
  <si>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</si>
  <si>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</si>
  <si>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</si>
  <si>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</si>
  <si>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</si>
  <si>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</si>
  <si>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</si>
  <si>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</si>
  <si>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</si>
  <si>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</si>
  <si>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</si>
  <si>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</si>
  <si>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</si>
  <si>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</si>
  <si>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</si>
  <si>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</si>
  <si>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</si>
  <si>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</si>
  <si>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</si>
  <si>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</si>
  <si>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</si>
  <si>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</si>
  <si>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</si>
  <si>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</si>
  <si>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</si>
  <si>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</si>
  <si>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</si>
  <si>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</si>
  <si>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</si>
  <si>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</si>
  <si>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</si>
  <si>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</si>
  <si>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</si>
  <si>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</si>
  <si>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</si>
  <si>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</si>
  <si>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</si>
  <si>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</si>
  <si>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</si>
  <si>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</si>
  <si>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</si>
  <si>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</si>
  <si>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</si>
  <si>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</si>
  <si>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</si>
  <si>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</si>
  <si>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</si>
  <si>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</si>
  <si>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</si>
  <si>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</si>
  <si>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</si>
  <si>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</si>
  <si>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</si>
  <si>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</si>
  <si>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</si>
  <si>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</si>
  <si>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</si>
  <si>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</si>
  <si>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</si>
  <si>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</si>
  <si>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</si>
  <si>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</si>
  <si>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</si>
  <si>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</si>
  <si>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</si>
  <si>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</si>
  <si>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</si>
  <si>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</si>
  <si>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</si>
  <si>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</si>
  <si>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</si>
  <si>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</si>
  <si>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</si>
  <si>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</si>
  <si>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</si>
  <si>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</si>
  <si>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</si>
  <si>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</si>
  <si>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</si>
  <si>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</si>
  <si>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</si>
  <si>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</si>
  <si>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</si>
  <si>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</si>
  <si>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</si>
  <si>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</si>
  <si>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</si>
  <si>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</si>
  <si>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</si>
  <si>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</si>
  <si>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</si>
  <si>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</si>
  <si>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</si>
  <si>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</si>
  <si>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</si>
  <si>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</si>
  <si>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</si>
  <si>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</si>
  <si>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</si>
  <si>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</si>
  <si>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</si>
  <si>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</si>
  <si>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</si>
  <si>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</si>
  <si>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</si>
  <si>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</si>
  <si>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</si>
  <si>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</si>
  <si>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</si>
  <si>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</si>
  <si>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</si>
  <si>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</si>
  <si>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</si>
  <si>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</si>
  <si>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</si>
  <si>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</si>
  <si>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</si>
  <si>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</si>
  <si>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</si>
  <si>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</si>
  <si>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</si>
  <si>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</si>
  <si>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</si>
  <si>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</si>
  <si>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</si>
  <si>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</si>
  <si>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</si>
  <si>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</si>
  <si>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</si>
  <si>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</si>
  <si>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</si>
  <si>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</si>
  <si>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</si>
  <si>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</si>
  <si>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</si>
  <si>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</si>
  <si>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</si>
  <si>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</si>
  <si>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</si>
  <si>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</si>
  <si>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</si>
  <si>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</si>
  <si>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</si>
  <si>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</si>
  <si>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</si>
  <si>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</si>
  <si>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</si>
  <si>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</si>
  <si>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</si>
  <si>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</si>
  <si>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</si>
  <si>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</si>
  <si>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</si>
  <si>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</si>
  <si>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</si>
  <si>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</si>
  <si>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</si>
  <si>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</si>
  <si>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</si>
  <si>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</si>
  <si>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</si>
  <si>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</si>
  <si>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</si>
  <si>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</si>
  <si>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</si>
  <si>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</si>
  <si>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</si>
  <si>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</si>
  <si>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</si>
  <si>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</si>
  <si>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</si>
  <si>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</si>
  <si>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</si>
  <si>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</si>
  <si>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</si>
  <si>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</si>
  <si>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</si>
  <si>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</si>
  <si>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</si>
  <si>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</si>
  <si>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</si>
  <si>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</si>
  <si>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</si>
  <si>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</si>
  <si>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</si>
  <si>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</si>
  <si>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</si>
  <si>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</si>
  <si>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</si>
  <si>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</si>
  <si>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</si>
  <si>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</si>
  <si>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</si>
  <si>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</si>
  <si>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</si>
  <si>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</si>
  <si>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</si>
  <si>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</si>
  <si>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</si>
  <si>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</si>
  <si>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</si>
  <si>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</si>
  <si>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</si>
  <si>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</si>
  <si>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</si>
  <si>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</si>
  <si>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</si>
  <si>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</si>
  <si>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</si>
  <si>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</si>
  <si>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</si>
  <si>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</si>
  <si>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</si>
  <si>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</si>
  <si>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</si>
  <si>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</si>
  <si>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</si>
  <si>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</si>
  <si>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</si>
  <si>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</si>
  <si>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</si>
  <si>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</si>
  <si>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</si>
  <si>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</si>
  <si>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</si>
  <si>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</si>
  <si>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</si>
  <si>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</si>
  <si>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</si>
  <si>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</si>
  <si>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</si>
  <si>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</si>
  <si>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</si>
  <si>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</si>
  <si>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</si>
  <si>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</si>
  <si>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</si>
  <si>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</si>
  <si>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</si>
  <si>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</si>
  <si>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</si>
  <si>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</si>
  <si>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</si>
  <si>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</si>
  <si>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</si>
  <si>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</si>
  <si>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</si>
  <si>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</si>
  <si>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</si>
  <si>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</si>
  <si>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</si>
  <si>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</si>
  <si>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</si>
  <si>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</si>
  <si>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</si>
  <si>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</si>
  <si>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</si>
  <si>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</si>
  <si>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</si>
  <si>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</si>
  <si>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</si>
  <si>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</si>
  <si>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</si>
  <si>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</si>
  <si>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</si>
  <si>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</si>
  <si>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</si>
  <si>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</si>
  <si>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</si>
  <si>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</si>
  <si>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</si>
  <si>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</si>
  <si>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</si>
  <si>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</si>
  <si>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</si>
  <si>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</si>
  <si>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</si>
  <si>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</si>
  <si>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</si>
  <si>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</si>
  <si>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</si>
  <si>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</si>
  <si>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</si>
  <si>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</si>
  <si>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</si>
  <si>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</si>
  <si>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</si>
  <si>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</si>
  <si>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</si>
  <si>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</si>
  <si>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</si>
  <si>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</si>
  <si>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</si>
  <si>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</si>
  <si>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</si>
  <si>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</si>
  <si>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</si>
  <si>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</si>
  <si>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</si>
  <si>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</si>
  <si>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</si>
  <si>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</si>
  <si>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</si>
  <si>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</si>
  <si>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</si>
  <si>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</si>
  <si>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</si>
  <si>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</si>
  <si>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</si>
  <si>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</si>
  <si>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</si>
  <si>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</si>
  <si>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</si>
  <si>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</si>
  <si>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</si>
  <si>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</si>
  <si>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</si>
  <si>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</si>
  <si>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</si>
  <si>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</si>
  <si>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</si>
  <si>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</si>
  <si>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</si>
  <si>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</si>
  <si>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</si>
  <si>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</si>
  <si>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</si>
  <si>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</si>
  <si>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</si>
  <si>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</si>
  <si>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</si>
  <si>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</si>
  <si>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</si>
  <si>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</si>
  <si>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</si>
  <si>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</si>
  <si>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</si>
  <si>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</si>
  <si>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</si>
  <si>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</si>
  <si>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</si>
  <si>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</si>
  <si>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</si>
  <si>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</si>
  <si>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</si>
  <si>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</si>
  <si>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</si>
  <si>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</si>
  <si>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</si>
  <si>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</si>
  <si>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</si>
  <si>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</si>
  <si>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</si>
  <si>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</si>
  <si>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</si>
  <si>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</si>
  <si>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</si>
  <si>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</si>
  <si>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</si>
  <si>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</si>
  <si>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</si>
  <si>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</si>
  <si>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</si>
  <si>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</si>
  <si>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</si>
  <si>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</si>
  <si>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</si>
  <si>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</si>
  <si>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</si>
  <si>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</si>
  <si>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</si>
  <si>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</si>
  <si>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</si>
  <si>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</si>
  <si>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</si>
  <si>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</si>
  <si>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</si>
  <si>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</si>
  <si>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</si>
  <si>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</si>
  <si>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</si>
  <si>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</si>
  <si>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</si>
  <si>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</si>
  <si>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</si>
  <si>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</si>
  <si>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</si>
  <si>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</si>
  <si>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</si>
  <si>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</si>
  <si>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</si>
  <si>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</si>
  <si>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</si>
  <si>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</si>
  <si>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</si>
  <si>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</si>
  <si>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</si>
  <si>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</si>
  <si>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</si>
  <si>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</si>
  <si>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</si>
  <si>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</si>
  <si>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</si>
  <si>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</si>
  <si>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</si>
  <si>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</si>
  <si>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</si>
  <si>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</si>
  <si>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</si>
  <si>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</si>
  <si>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</si>
  <si>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</si>
  <si>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</si>
  <si>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</si>
  <si>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</si>
  <si>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</si>
  <si>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</si>
  <si>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</si>
  <si>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</si>
  <si>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</si>
  <si>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</si>
  <si>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</si>
  <si>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</si>
  <si>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</si>
  <si>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</si>
  <si>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</si>
  <si>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</si>
  <si>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</si>
  <si>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</si>
  <si>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</si>
  <si>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</si>
  <si>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</si>
  <si>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</si>
  <si>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</si>
  <si>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</si>
  <si>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</si>
  <si>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</si>
  <si>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</si>
  <si>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</si>
  <si>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</si>
  <si>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</si>
  <si>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</si>
  <si>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</si>
  <si>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</si>
  <si>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</si>
  <si>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</si>
  <si>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</si>
  <si>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</si>
  <si>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</si>
  <si>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</si>
  <si>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</si>
  <si>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</si>
  <si>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</si>
  <si>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</si>
  <si>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</si>
  <si>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</si>
  <si>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</si>
  <si>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</si>
  <si>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</si>
  <si>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</si>
  <si>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</si>
  <si>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</si>
  <si>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</si>
  <si>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</si>
  <si>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</si>
  <si>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</si>
  <si>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</si>
  <si>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</si>
  <si>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</si>
  <si>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</si>
  <si>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</si>
  <si>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</si>
  <si>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</si>
  <si>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</si>
  <si>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</si>
  <si>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</si>
  <si>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</si>
  <si>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</si>
  <si>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</si>
  <si>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</si>
  <si>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</si>
  <si>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</si>
  <si>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</si>
  <si>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</si>
  <si>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</si>
  <si>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</si>
  <si>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</si>
  <si>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</si>
  <si>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</si>
  <si>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</si>
  <si>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</si>
  <si>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</si>
  <si>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</si>
  <si>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</si>
  <si>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</si>
  <si>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</si>
  <si>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</si>
  <si>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</si>
  <si>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</si>
  <si>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</si>
  <si>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</si>
  <si>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</si>
  <si>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</si>
  <si>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</si>
  <si>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</si>
  <si>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</si>
  <si>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</si>
  <si>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</si>
  <si>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</si>
  <si>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</si>
  <si>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</si>
  <si>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</si>
  <si>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</si>
  <si>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</si>
  <si>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</si>
  <si>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</si>
  <si>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</si>
  <si>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</si>
  <si>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</si>
  <si>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</si>
  <si>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</si>
  <si>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</si>
  <si>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</si>
  <si>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</si>
  <si>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</si>
  <si>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</si>
  <si>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</si>
  <si>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</si>
  <si>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</si>
  <si>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</si>
  <si>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</si>
  <si>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</si>
  <si>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</si>
  <si>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</si>
  <si>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</si>
  <si>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</si>
  <si>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</si>
  <si>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</si>
  <si>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</si>
  <si>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</si>
  <si>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</si>
  <si>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</si>
  <si>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</si>
  <si>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</si>
  <si>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</si>
  <si>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</si>
  <si>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</si>
  <si>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</si>
  <si>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</si>
  <si>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</si>
  <si>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</si>
  <si>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</si>
  <si>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</si>
  <si>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</si>
  <si>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</si>
  <si>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</si>
  <si>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</si>
  <si>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</si>
  <si>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</si>
  <si>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</si>
  <si>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</si>
  <si>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</si>
  <si>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</si>
  <si>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</si>
  <si>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</si>
  <si>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</si>
  <si>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</si>
  <si>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</si>
  <si>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</si>
  <si>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</si>
  <si>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</si>
  <si>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</si>
  <si>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</si>
  <si>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</si>
  <si>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</si>
  <si>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</si>
  <si>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</si>
  <si>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</si>
  <si>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</si>
  <si>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</si>
  <si>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</si>
  <si>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</si>
  <si>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</si>
  <si>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</si>
  <si>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</si>
  <si>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</si>
  <si>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</si>
  <si>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</si>
  <si>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</si>
  <si>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</si>
  <si>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</si>
  <si>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</si>
  <si>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</si>
  <si>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</si>
  <si>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</si>
  <si>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</si>
  <si>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</si>
  <si>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</si>
  <si>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</si>
  <si>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</si>
  <si>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</si>
  <si>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</si>
  <si>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</si>
  <si>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</si>
  <si>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</si>
  <si>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</si>
  <si>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</si>
  <si>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</si>
  <si>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</si>
  <si>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</si>
  <si>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</si>
  <si>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</si>
  <si>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</si>
  <si>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</si>
  <si>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</si>
  <si>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</si>
  <si>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</si>
  <si>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</si>
  <si>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</si>
  <si>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</si>
  <si>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</si>
  <si>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</si>
  <si>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</si>
  <si>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</si>
  <si>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</si>
  <si>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</si>
  <si>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</si>
  <si>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</si>
  <si>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</si>
  <si>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</si>
  <si>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</si>
  <si>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</si>
  <si>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</si>
  <si>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</si>
  <si>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</si>
  <si>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</si>
  <si>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</si>
  <si>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</si>
  <si>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</si>
  <si>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</si>
  <si>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</si>
  <si>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</si>
  <si>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</si>
  <si>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</si>
  <si>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</si>
  <si>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</si>
  <si>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</si>
  <si>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</si>
  <si>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</si>
  <si>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</si>
  <si>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</si>
  <si>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</si>
  <si>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</si>
  <si>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</si>
  <si>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</si>
  <si>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</si>
  <si>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</si>
  <si>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</si>
  <si>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</si>
  <si>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</si>
  <si>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</si>
  <si>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</si>
  <si>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</si>
  <si>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</si>
  <si>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</si>
  <si>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</si>
  <si>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</si>
  <si>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</si>
  <si>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</si>
  <si>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</si>
  <si>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</si>
  <si>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</si>
  <si>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</si>
  <si>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</si>
  <si>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</si>
  <si>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</si>
  <si>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</si>
  <si>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</si>
  <si>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</si>
  <si>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</si>
  <si>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</si>
  <si>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</si>
  <si>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</si>
  <si>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</si>
  <si>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</si>
  <si>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</si>
  <si>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</si>
  <si>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</si>
  <si>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</si>
  <si>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</si>
  <si>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</si>
  <si>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</si>
  <si>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</si>
  <si>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</si>
  <si>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</si>
  <si>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</si>
  <si>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</si>
  <si>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</si>
  <si>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</si>
  <si>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</si>
  <si>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</si>
  <si>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</si>
  <si>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</si>
  <si>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</si>
  <si>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</si>
  <si>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</si>
  <si>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</si>
  <si>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</si>
  <si>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</si>
  <si>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</si>
  <si>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</si>
  <si>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</si>
  <si>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</si>
  <si>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</si>
  <si>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</si>
  <si>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</si>
  <si>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</si>
  <si>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</si>
  <si>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</si>
  <si>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</si>
  <si>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</si>
  <si>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</si>
  <si>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</si>
  <si>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</si>
  <si>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</si>
  <si>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</si>
  <si>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</si>
  <si>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</si>
  <si>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</si>
  <si>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</si>
  <si>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</si>
  <si>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</si>
  <si>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</si>
  <si>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</si>
  <si>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</si>
  <si>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</si>
  <si>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</si>
  <si>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</si>
  <si>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</si>
  <si>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</si>
  <si>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</si>
  <si>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</si>
  <si>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</si>
  <si>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</si>
  <si>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</si>
  <si>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</si>
  <si>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</si>
  <si>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</si>
  <si>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</si>
  <si>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</si>
  <si>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</si>
  <si>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</si>
  <si>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</si>
  <si>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</si>
  <si>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</si>
  <si>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</si>
  <si>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</si>
  <si>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</si>
  <si>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</si>
  <si>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</si>
  <si>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</si>
  <si>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</si>
  <si>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</si>
  <si>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</si>
  <si>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</si>
  <si>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</si>
  <si>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</si>
  <si>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</si>
  <si>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</si>
  <si>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</si>
  <si>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</si>
  <si>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</si>
  <si>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</si>
  <si>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</si>
  <si>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</si>
  <si>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</si>
  <si>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</si>
  <si>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</si>
  <si>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</si>
  <si>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</si>
  <si>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</si>
  <si>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</si>
  <si>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</si>
  <si>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</si>
  <si>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</si>
  <si>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</si>
  <si>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</si>
  <si>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</si>
  <si>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</si>
  <si>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</si>
  <si>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</si>
  <si>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</si>
  <si>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</si>
  <si>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</si>
  <si>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</si>
  <si>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</si>
  <si>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</si>
  <si>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</si>
  <si>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</si>
  <si>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</si>
  <si>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</si>
  <si>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</si>
  <si>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</si>
  <si>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</si>
  <si>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</si>
  <si>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</si>
  <si>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</si>
  <si>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</si>
  <si>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</si>
  <si>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</si>
  <si>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</si>
  <si>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</si>
  <si>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</si>
  <si>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</si>
  <si>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</si>
  <si>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</si>
  <si>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</si>
  <si>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</si>
  <si>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</si>
  <si>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</si>
  <si>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</si>
  <si>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</si>
  <si>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</si>
  <si>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</si>
  <si>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</si>
  <si>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</si>
  <si>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</si>
  <si>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</si>
  <si>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</si>
  <si>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</si>
  <si>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</si>
  <si>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</si>
  <si>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</si>
  <si>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</si>
  <si>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</si>
  <si>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</si>
  <si>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</si>
  <si>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</si>
  <si>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</si>
  <si>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</si>
  <si>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</si>
  <si>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</si>
  <si>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</si>
  <si>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</si>
  <si>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</si>
  <si>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</si>
  <si>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</si>
  <si>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</si>
  <si>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</si>
  <si>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</si>
  <si>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</si>
  <si>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</si>
  <si>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</si>
  <si>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</si>
  <si>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</si>
  <si>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</si>
  <si>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</si>
  <si>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</si>
  <si>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</si>
  <si>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</si>
  <si>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</si>
  <si>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</si>
  <si>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</si>
  <si>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</si>
  <si>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</si>
  <si>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</si>
  <si>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</si>
  <si>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</si>
  <si>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</si>
  <si>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</si>
  <si>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</si>
  <si>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</si>
  <si>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</si>
  <si>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</si>
  <si>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</si>
  <si>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</si>
  <si>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</si>
  <si>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</si>
  <si>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</si>
  <si>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</si>
  <si>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</si>
  <si>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</si>
  <si>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</si>
  <si>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</si>
  <si>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</si>
  <si>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</si>
  <si>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</si>
  <si>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</si>
  <si>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</si>
  <si>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</si>
  <si>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</si>
  <si>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</si>
  <si>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</si>
  <si>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</si>
  <si>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</si>
  <si>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</si>
  <si>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</si>
  <si>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</si>
  <si>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</si>
  <si>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</si>
  <si>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</si>
  <si>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</si>
  <si>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</si>
  <si>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</si>
  <si>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</si>
  <si>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</si>
  <si>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</si>
  <si>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</si>
  <si>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</si>
  <si>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</si>
  <si>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</si>
  <si>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</si>
  <si>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</si>
  <si>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</si>
  <si>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</si>
  <si>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</si>
  <si>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</si>
  <si>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</si>
  <si>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</si>
  <si>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</si>
  <si>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</si>
  <si>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</si>
  <si>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</si>
  <si>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</si>
  <si>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</si>
  <si>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</si>
  <si>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</si>
  <si>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</si>
  <si>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</si>
  <si>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</si>
  <si>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</si>
  <si>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</si>
  <si>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</si>
  <si>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</si>
  <si>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</si>
  <si>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</si>
  <si>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</si>
  <si>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</si>
  <si>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</si>
  <si>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</si>
  <si>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</si>
  <si>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</si>
  <si>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</si>
  <si>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</si>
  <si>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</si>
  <si>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</si>
  <si>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</si>
  <si>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</si>
  <si>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</si>
  <si>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</si>
  <si>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</si>
  <si>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</si>
  <si>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</si>
  <si>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</si>
  <si>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</si>
  <si>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</si>
  <si>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</si>
  <si>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</si>
  <si>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</si>
  <si>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</si>
  <si>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</si>
  <si>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</si>
  <si>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</si>
  <si>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</si>
  <si>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</si>
  <si>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</si>
  <si>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</si>
  <si>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</si>
  <si>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</si>
  <si>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</si>
  <si>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</si>
  <si>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</si>
  <si>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</si>
  <si>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</si>
  <si>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</si>
  <si>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</si>
  <si>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</si>
  <si>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</si>
  <si>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</si>
  <si>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</si>
  <si>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</si>
  <si>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</si>
  <si>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</si>
  <si>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</si>
  <si>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</si>
  <si>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</si>
  <si>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</si>
  <si>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</si>
  <si>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</si>
  <si>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</si>
  <si>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</si>
  <si>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</si>
  <si>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</si>
  <si>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</si>
  <si>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</si>
  <si>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</si>
  <si>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</si>
  <si>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</si>
  <si>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</si>
  <si>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</si>
  <si>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</si>
  <si>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</si>
  <si>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</si>
  <si>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</si>
  <si>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</si>
  <si>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</si>
  <si>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</si>
  <si>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</si>
  <si>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</si>
  <si>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</si>
  <si>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</si>
  <si>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</si>
  <si>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</si>
  <si>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</si>
  <si>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</si>
  <si>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</si>
  <si>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</si>
  <si>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</si>
  <si>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</si>
  <si>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</si>
  <si>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</si>
  <si>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</si>
  <si>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</si>
  <si>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</si>
  <si>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</si>
  <si>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</si>
  <si>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</si>
  <si>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</si>
  <si>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</si>
  <si>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</si>
  <si>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</si>
  <si>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</si>
  <si>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</si>
  <si>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</si>
  <si>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</si>
  <si>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</si>
  <si>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</si>
  <si>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</si>
  <si>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</si>
  <si>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</si>
  <si>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</si>
  <si>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</si>
  <si>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</si>
  <si>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</si>
  <si>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</si>
  <si>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</si>
  <si>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</si>
  <si>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</si>
  <si>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</si>
  <si>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</si>
  <si>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</si>
  <si>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</si>
  <si>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</si>
  <si>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</si>
  <si>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</si>
  <si>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</si>
  <si>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</si>
  <si>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</si>
  <si>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</si>
  <si>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</si>
  <si>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</si>
  <si>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</si>
  <si>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</si>
  <si>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</si>
  <si>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</si>
  <si>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</si>
  <si>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</si>
  <si>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</si>
  <si>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</si>
  <si>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</si>
  <si>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</si>
  <si>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</si>
  <si>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</si>
  <si>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</si>
  <si>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</si>
  <si>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</si>
  <si>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</si>
  <si>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</si>
  <si>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</si>
  <si>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</si>
  <si>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</si>
  <si>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</si>
  <si>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</si>
  <si>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</si>
  <si>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</si>
  <si>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</si>
  <si>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</si>
  <si>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</si>
  <si>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</si>
  <si>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</si>
  <si>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</si>
  <si>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</si>
  <si>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</si>
  <si>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</si>
  <si>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</si>
  <si>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</si>
  <si>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</si>
  <si>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</si>
  <si>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</si>
  <si>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</si>
  <si>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</si>
  <si>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</si>
  <si>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</si>
  <si>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</si>
  <si>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</si>
  <si>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</si>
  <si>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</si>
  <si>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</si>
  <si>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</si>
  <si>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</si>
  <si>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</si>
  <si>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</si>
  <si>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</si>
  <si>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</si>
  <si>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</si>
  <si>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</si>
  <si>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</si>
  <si>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</si>
  <si>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</si>
  <si>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</si>
  <si>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</si>
  <si>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</si>
  <si>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</si>
  <si>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</si>
  <si>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</si>
  <si>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</si>
  <si>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</si>
  <si>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</si>
  <si>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</si>
  <si>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</si>
  <si>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</si>
  <si>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</si>
  <si>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</si>
  <si>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</si>
  <si>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</si>
  <si>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</si>
  <si>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</si>
  <si>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</si>
  <si>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</si>
  <si>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</si>
  <si>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</si>
  <si>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</si>
  <si>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</si>
  <si>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</si>
  <si>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</si>
  <si>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</si>
  <si>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</si>
  <si>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</si>
  <si>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</si>
  <si>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</si>
  <si>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</si>
  <si>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</si>
  <si>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</si>
  <si>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</si>
  <si>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</si>
  <si>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</si>
  <si>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</si>
  <si>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</si>
  <si>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</si>
  <si>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</si>
  <si>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</si>
  <si>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</si>
  <si>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</si>
  <si>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</si>
  <si>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</si>
  <si>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</si>
  <si>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</si>
  <si>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</si>
  <si>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</si>
  <si>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</si>
  <si>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</si>
  <si>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</si>
  <si>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</si>
  <si>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</si>
  <si>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</si>
  <si>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</si>
  <si>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</si>
  <si>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</si>
  <si>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</si>
  <si>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</si>
  <si>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</si>
  <si>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</si>
  <si>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</si>
  <si>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</si>
  <si>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</si>
  <si>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</si>
  <si>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</si>
  <si>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</si>
  <si>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</si>
  <si>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</si>
  <si>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</si>
  <si>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</si>
  <si>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</si>
  <si>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</si>
  <si>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</si>
  <si>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</si>
  <si>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</si>
  <si>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</si>
  <si>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</si>
  <si>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</si>
  <si>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</si>
  <si>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</si>
  <si>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</si>
  <si>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</si>
  <si>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</si>
  <si>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</si>
  <si>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</si>
  <si>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</si>
  <si>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</si>
  <si>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</si>
  <si>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</si>
  <si>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</si>
  <si>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</si>
  <si>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</si>
  <si>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</si>
  <si>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</si>
  <si>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</si>
  <si>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</si>
  <si>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</si>
  <si>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</si>
  <si>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</si>
  <si>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</si>
  <si>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</si>
  <si>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</si>
  <si>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</si>
  <si>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</si>
  <si>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</si>
  <si>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</si>
  <si>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</si>
  <si>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</si>
  <si>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</si>
  <si>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</si>
  <si>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</si>
  <si>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</si>
  <si>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</si>
  <si>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</si>
  <si>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</si>
  <si>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</si>
  <si>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</si>
  <si>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</si>
  <si>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</si>
  <si>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</si>
  <si>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</si>
  <si>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</si>
  <si>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</si>
  <si>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</si>
  <si>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</si>
  <si>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</si>
  <si>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</si>
  <si>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</si>
  <si>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</si>
  <si>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</si>
  <si>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</si>
  <si>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</si>
  <si>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</si>
  <si>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</si>
  <si>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</si>
  <si>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</si>
  <si>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</si>
  <si>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</si>
  <si>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</si>
  <si>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</si>
  <si>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</si>
  <si>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</si>
  <si>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</si>
  <si>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</si>
  <si>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</si>
  <si>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</si>
  <si>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</si>
  <si>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</si>
  <si>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</si>
  <si>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</si>
  <si>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</si>
  <si>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</si>
  <si>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</si>
  <si>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</si>
  <si>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</si>
  <si>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</si>
  <si>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</si>
  <si>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</si>
  <si>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</si>
  <si>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</si>
  <si>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</si>
  <si>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</si>
  <si>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</si>
  <si>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</si>
  <si>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</si>
  <si>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</si>
  <si>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</si>
  <si>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</si>
  <si>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</si>
  <si>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</si>
  <si>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</si>
  <si>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</si>
  <si>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</si>
  <si>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</si>
  <si>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</si>
  <si>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</si>
  <si>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</si>
  <si>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</si>
  <si>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</si>
  <si>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</si>
  <si>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</si>
  <si>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</si>
  <si>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</si>
  <si>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</si>
  <si>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</si>
  <si>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</si>
  <si>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</si>
  <si>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</si>
  <si>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</si>
  <si>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</si>
  <si>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</si>
  <si>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</si>
  <si>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</si>
  <si>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</si>
  <si>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</si>
  <si>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</si>
  <si>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</si>
  <si>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</si>
  <si>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</si>
  <si>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</si>
  <si>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</si>
  <si>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</si>
  <si>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</si>
  <si>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</si>
  <si>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</si>
  <si>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</si>
  <si>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</si>
  <si>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</si>
  <si>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</si>
  <si>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</si>
  <si>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</si>
  <si>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</si>
  <si>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</si>
  <si>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</si>
  <si>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</si>
  <si>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</si>
  <si>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</si>
  <si>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</si>
  <si>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</si>
  <si>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</si>
  <si>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</si>
  <si>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</si>
  <si>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</si>
  <si>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</si>
  <si>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</si>
  <si>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</si>
  <si>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</si>
  <si>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</si>
  <si>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</si>
  <si>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</si>
  <si>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</si>
  <si>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</si>
  <si>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</si>
  <si>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</si>
  <si>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</si>
  <si>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</si>
  <si>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</si>
  <si>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</si>
  <si>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</si>
  <si>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</si>
  <si>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</si>
  <si>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</si>
  <si>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</si>
  <si>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</si>
  <si>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</si>
  <si>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</si>
  <si>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</si>
  <si>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</si>
  <si>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</si>
  <si>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</si>
  <si>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</si>
  <si>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</si>
  <si>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</si>
  <si>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</si>
  <si>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</si>
  <si>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</si>
  <si>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</si>
  <si>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</si>
  <si>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</si>
  <si>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</si>
  <si>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</si>
  <si>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</si>
  <si>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</si>
  <si>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</si>
  <si>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</si>
  <si>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</si>
  <si>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</si>
  <si>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</si>
  <si>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</si>
  <si>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</si>
  <si>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</si>
  <si>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</si>
  <si>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</si>
  <si>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</si>
  <si>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</si>
  <si>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</si>
  <si>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</si>
  <si>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</si>
  <si>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</si>
  <si>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</si>
  <si>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</si>
  <si>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</si>
  <si>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</si>
  <si>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</si>
  <si>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</si>
  <si>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</si>
  <si>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</si>
  <si>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</si>
  <si>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</si>
  <si>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</si>
  <si>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</si>
  <si>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</si>
  <si>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</si>
  <si>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</si>
  <si>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</si>
  <si>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</si>
  <si>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</si>
  <si>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</si>
  <si>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</si>
  <si>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</si>
  <si>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</si>
  <si>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</si>
  <si>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</si>
  <si>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</si>
  <si>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</si>
  <si>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</si>
  <si>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</si>
  <si>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</si>
  <si>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</si>
  <si>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</si>
  <si>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</si>
  <si>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</si>
  <si>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</si>
  <si>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</si>
  <si>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</si>
  <si>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</si>
  <si>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</si>
  <si>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</si>
  <si>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</si>
  <si>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</si>
  <si>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</si>
  <si>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</si>
  <si>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</si>
  <si>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</si>
  <si>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</si>
  <si>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</si>
  <si>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</si>
  <si>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</si>
  <si>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</si>
  <si>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</si>
  <si>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</si>
  <si>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</si>
  <si>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</si>
  <si>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</si>
  <si>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</si>
  <si>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</si>
  <si>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</si>
  <si>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</si>
  <si>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</si>
  <si>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</si>
  <si>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</si>
  <si>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</si>
  <si>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</si>
  <si>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</si>
  <si>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</si>
  <si>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</si>
  <si>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</si>
  <si>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</si>
  <si>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</si>
  <si>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</si>
  <si>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</si>
  <si>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</si>
  <si>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</si>
  <si>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</si>
  <si>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</si>
  <si>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</si>
  <si>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</si>
  <si>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</si>
  <si>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</si>
  <si>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</si>
  <si>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</si>
  <si>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</si>
  <si>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</si>
  <si>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</si>
  <si>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</si>
  <si>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</si>
  <si>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</si>
  <si>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</si>
  <si>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</si>
  <si>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</si>
  <si>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</si>
  <si>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</si>
  <si>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</si>
  <si>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</si>
  <si>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</si>
  <si>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</si>
  <si>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</si>
  <si>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</si>
  <si>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</si>
  <si>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</si>
  <si>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</si>
  <si>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</si>
  <si>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</si>
  <si>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</si>
  <si>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</si>
  <si>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</si>
  <si>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</si>
  <si>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</si>
  <si>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</si>
  <si>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</si>
  <si>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</si>
  <si>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</si>
  <si>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</si>
  <si>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</si>
  <si>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</si>
  <si>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</si>
  <si>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</si>
  <si>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</si>
  <si>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</si>
  <si>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</si>
  <si>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</si>
  <si>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</si>
  <si>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</si>
  <si>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</si>
  <si>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</si>
  <si>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</si>
  <si>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</si>
  <si>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</si>
  <si>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</si>
  <si>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</si>
  <si>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</si>
  <si>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</si>
  <si>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</si>
  <si>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</si>
  <si>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</si>
  <si>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</si>
  <si>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</si>
  <si>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</si>
  <si>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</si>
  <si>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</si>
  <si>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</si>
  <si>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</si>
  <si>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</si>
  <si>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</si>
  <si>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</si>
  <si>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</si>
  <si>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</si>
  <si>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</si>
  <si>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</si>
  <si>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</si>
  <si>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</si>
  <si>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</si>
  <si>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</si>
  <si>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</si>
  <si>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</si>
  <si>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</si>
  <si>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</si>
  <si>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</si>
  <si>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</si>
  <si>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</si>
  <si>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</si>
  <si>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</si>
  <si>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</si>
  <si>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</si>
  <si>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</si>
  <si>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</si>
  <si>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</si>
  <si>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</si>
  <si>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</si>
  <si>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</si>
  <si>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</si>
  <si>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</si>
  <si>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</si>
  <si>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</si>
  <si>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</si>
  <si>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</si>
  <si>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</si>
  <si>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</si>
  <si>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</si>
  <si>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</si>
  <si>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</si>
  <si>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</si>
  <si>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</si>
  <si>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</si>
  <si>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</si>
  <si>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</si>
  <si>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</si>
  <si>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</si>
  <si>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</si>
  <si>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</si>
  <si>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</si>
  <si>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</si>
  <si>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</si>
  <si>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</si>
  <si>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</si>
  <si>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</si>
  <si>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</si>
  <si>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</si>
  <si>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</si>
  <si>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</si>
  <si>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</si>
  <si>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</si>
  <si>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</si>
  <si>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</si>
  <si>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</si>
  <si>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</si>
  <si>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</si>
  <si>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</si>
  <si>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</si>
  <si>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</si>
  <si>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</si>
  <si>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</si>
  <si>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</si>
  <si>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</si>
  <si>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</si>
  <si>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</si>
  <si>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</si>
  <si>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</si>
  <si>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</si>
  <si>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</si>
  <si>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</si>
  <si>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</si>
  <si>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</si>
  <si>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</si>
  <si>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</si>
  <si>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</si>
  <si>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</si>
  <si>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</si>
  <si>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</si>
  <si>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</si>
  <si>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</si>
  <si>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</si>
  <si>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</si>
  <si>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</si>
  <si>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</si>
  <si>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</si>
  <si>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</si>
  <si>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</si>
  <si>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</si>
  <si>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</si>
  <si>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</si>
  <si>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</si>
  <si>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</si>
  <si>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</si>
  <si>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</si>
  <si>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</si>
  <si>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</si>
  <si>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</si>
  <si>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</si>
  <si>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</si>
  <si>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</si>
  <si>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</si>
  <si>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</si>
  <si>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</si>
  <si>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</si>
  <si>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</si>
  <si>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</si>
  <si>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</si>
  <si>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</si>
  <si>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</si>
  <si>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</si>
  <si>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</si>
  <si>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</si>
  <si>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</si>
  <si>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</si>
  <si>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</si>
  <si>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</si>
  <si>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</si>
  <si>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</si>
  <si>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</si>
  <si>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</si>
  <si>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</si>
  <si>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</si>
  <si>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</si>
  <si>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</si>
  <si>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</si>
  <si>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</si>
  <si>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</si>
  <si>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</si>
  <si>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</si>
  <si>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</si>
  <si>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</si>
  <si>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</si>
  <si>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</si>
  <si>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</si>
  <si>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</si>
  <si>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</si>
  <si>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</si>
  <si>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</si>
  <si>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</si>
  <si>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</si>
  <si>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</si>
  <si>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</si>
  <si>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</si>
  <si>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</si>
  <si>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</si>
  <si>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</si>
  <si>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</si>
  <si>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</si>
  <si>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</si>
  <si>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</si>
  <si>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</si>
  <si>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</si>
  <si>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</si>
  <si>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</si>
  <si>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</si>
  <si>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</si>
  <si>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</si>
  <si>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</si>
  <si>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</si>
  <si>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</si>
  <si>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</si>
  <si>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</si>
  <si>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</si>
  <si>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</si>
  <si>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</si>
  <si>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</si>
  <si>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</si>
  <si>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</si>
  <si>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</si>
  <si>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</si>
  <si>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</si>
  <si>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</si>
  <si>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</si>
  <si>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</si>
  <si>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</si>
  <si>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</si>
  <si>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</si>
  <si>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</si>
  <si>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</si>
  <si>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</si>
  <si>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</si>
  <si>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</si>
  <si>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</si>
  <si>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</si>
  <si>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</si>
  <si>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</si>
  <si>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</si>
  <si>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</si>
  <si>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</si>
  <si>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</si>
  <si>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</si>
  <si>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</si>
  <si>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</si>
  <si>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</si>
  <si>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</si>
  <si>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</si>
  <si>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</si>
  <si>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</si>
  <si>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</si>
  <si>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</si>
  <si>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</si>
  <si>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</si>
  <si>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</si>
  <si>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</si>
  <si>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</si>
  <si>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</si>
  <si>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</si>
  <si>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</si>
  <si>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</si>
  <si>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</si>
  <si>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</si>
  <si>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</si>
  <si>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</si>
  <si>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</si>
  <si>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</si>
  <si>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</si>
  <si>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</si>
  <si>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</si>
  <si>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</si>
  <si>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</si>
  <si>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</si>
  <si>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</si>
  <si>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</si>
  <si>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</si>
  <si>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</si>
  <si>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</si>
  <si>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</si>
  <si>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</si>
  <si>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</si>
  <si>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</si>
  <si>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</si>
  <si>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</si>
  <si>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</si>
  <si>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</si>
  <si>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</si>
  <si>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</si>
  <si>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</si>
  <si>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</si>
  <si>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</si>
  <si>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</si>
  <si>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</si>
  <si>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</si>
  <si>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</si>
  <si>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</si>
  <si>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</si>
  <si>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</si>
  <si>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</si>
  <si>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</si>
  <si>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</si>
  <si>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</si>
  <si>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</si>
  <si>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</si>
  <si>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</si>
  <si>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</si>
  <si>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</si>
  <si>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</si>
  <si>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</si>
  <si>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</si>
  <si>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</si>
  <si>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</si>
  <si>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</si>
  <si>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</si>
  <si>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</si>
  <si>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</si>
  <si>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</si>
  <si>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</si>
  <si>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</si>
  <si>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</si>
  <si>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</si>
  <si>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</si>
  <si>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</si>
  <si>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</si>
  <si>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</si>
  <si>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</si>
  <si>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</si>
  <si>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</si>
  <si>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</si>
  <si>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</si>
  <si>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</si>
  <si>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</si>
  <si>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</si>
  <si>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</si>
  <si>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</si>
  <si>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</si>
  <si>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</si>
  <si>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</si>
  <si>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</si>
  <si>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</si>
  <si>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</si>
  <si>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</si>
  <si>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</si>
  <si>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</si>
  <si>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</si>
  <si>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</si>
  <si>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</si>
  <si>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</si>
  <si>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</si>
  <si>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</si>
  <si>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</si>
  <si>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</si>
  <si>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</si>
  <si>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</si>
  <si>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</si>
  <si>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</si>
  <si>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</si>
  <si>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</si>
  <si>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</si>
  <si>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</si>
  <si>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</si>
  <si>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</si>
  <si>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</si>
  <si>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</si>
  <si>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</si>
  <si>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</si>
  <si>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</si>
  <si>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</si>
  <si>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</si>
  <si>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</si>
  <si>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</si>
  <si>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</si>
  <si>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</si>
  <si>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</si>
  <si>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</si>
  <si>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</si>
  <si>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</si>
  <si>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</si>
  <si>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</si>
  <si>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</si>
  <si>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</si>
  <si>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</si>
  <si>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</si>
  <si>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</si>
  <si>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</si>
  <si>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</si>
  <si>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</si>
  <si>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</si>
  <si>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</si>
  <si>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</si>
  <si>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</si>
  <si>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</si>
  <si>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</si>
  <si>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</si>
  <si>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</si>
  <si>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</si>
  <si>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</si>
  <si>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</si>
  <si>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</si>
  <si>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</si>
  <si>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</si>
  <si>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</si>
  <si>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</si>
  <si>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</si>
  <si>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</si>
  <si>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</si>
  <si>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</si>
  <si>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</si>
  <si>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</si>
  <si>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</si>
  <si>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</si>
  <si>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</si>
  <si>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</si>
  <si>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</si>
  <si>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</si>
  <si>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</si>
  <si>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</si>
  <si>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</si>
  <si>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</si>
  <si>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</si>
  <si>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</si>
  <si>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</si>
  <si>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</si>
  <si>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</si>
  <si>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</si>
  <si>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</si>
  <si>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</si>
  <si>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</si>
  <si>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</si>
  <si>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</si>
  <si>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</si>
  <si>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</si>
  <si>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</si>
  <si>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</si>
  <si>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</si>
  <si>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</si>
  <si>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</si>
  <si>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</si>
  <si>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</si>
  <si>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</si>
  <si>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</si>
  <si>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</si>
  <si>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</si>
  <si>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</si>
  <si>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</si>
  <si>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</si>
  <si>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</si>
  <si>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</si>
  <si>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</si>
  <si>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</si>
  <si>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</si>
  <si>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</si>
  <si>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</si>
  <si>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</si>
  <si>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</si>
  <si>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</si>
  <si>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</si>
  <si>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</si>
  <si>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</si>
  <si>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</si>
  <si>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</si>
  <si>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</si>
  <si>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</si>
  <si>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</si>
  <si>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</si>
  <si>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</si>
  <si>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</si>
  <si>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</si>
  <si>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</si>
  <si>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</si>
  <si>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</si>
  <si>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</si>
  <si>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</si>
  <si>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</si>
  <si>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</si>
  <si>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</si>
  <si>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</si>
  <si>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</si>
  <si>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</si>
  <si>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</si>
  <si>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</si>
  <si>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</si>
  <si>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</si>
  <si>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</si>
  <si>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</si>
  <si>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</si>
  <si>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</si>
  <si>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</si>
  <si>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</si>
  <si>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</si>
  <si>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</si>
  <si>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</si>
  <si>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</si>
  <si>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</si>
  <si>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</si>
  <si>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</si>
  <si>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</si>
  <si>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</si>
  <si>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</si>
  <si>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</si>
  <si>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</si>
  <si>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</si>
  <si>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</si>
  <si>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</si>
  <si>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</si>
  <si>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</si>
  <si>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</si>
  <si>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</si>
  <si>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</si>
  <si>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</si>
  <si>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</si>
  <si>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</si>
  <si>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</si>
  <si>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</si>
  <si>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</si>
  <si>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</si>
  <si>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</si>
  <si>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</si>
  <si>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</si>
  <si>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</si>
  <si>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</si>
  <si>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</si>
  <si>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</si>
  <si>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</si>
  <si>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</si>
  <si>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</si>
  <si>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</si>
  <si>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</si>
  <si>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</si>
  <si>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</si>
  <si>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</si>
  <si>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</si>
  <si>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</si>
  <si>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</si>
  <si>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</si>
  <si>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</si>
  <si>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</si>
  <si>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</si>
  <si>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</si>
  <si>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</si>
  <si>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</si>
  <si>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</si>
  <si>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</si>
  <si>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</si>
  <si>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</si>
  <si>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</si>
  <si>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</si>
  <si>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</si>
  <si>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</si>
  <si>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</si>
  <si>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</si>
  <si>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</si>
  <si>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</si>
  <si>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</si>
  <si>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</si>
  <si>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</si>
  <si>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</si>
  <si>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</si>
  <si>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</si>
  <si>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</si>
  <si>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</si>
  <si>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</si>
  <si>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</si>
  <si>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</si>
  <si>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</si>
  <si>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</si>
  <si>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</si>
  <si>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</si>
  <si>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</si>
  <si>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</si>
  <si>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</si>
  <si>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</si>
  <si>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</si>
  <si>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</si>
  <si>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</si>
  <si>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</si>
  <si>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</si>
  <si>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</si>
  <si>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</si>
  <si>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</si>
  <si>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</si>
  <si>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</si>
  <si>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</si>
  <si>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</si>
  <si>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</si>
  <si>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</si>
  <si>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</si>
  <si>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</si>
  <si>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</si>
  <si>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</si>
  <si>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</si>
  <si>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</si>
  <si>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</si>
  <si>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</si>
  <si>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</si>
  <si>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</si>
  <si>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</si>
  <si>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</si>
  <si>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</si>
  <si>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</si>
  <si>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</si>
  <si>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</si>
  <si>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</si>
  <si>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</si>
  <si>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</si>
  <si>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</si>
  <si>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</si>
  <si>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</si>
  <si>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</si>
  <si>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</si>
  <si>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</si>
  <si>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</si>
  <si>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</si>
  <si>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</si>
  <si>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</si>
  <si>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</si>
  <si>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</si>
  <si>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</si>
  <si>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</si>
  <si>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</si>
  <si>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</si>
  <si>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</si>
  <si>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</si>
  <si>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</si>
  <si>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</si>
  <si>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</si>
  <si>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</si>
  <si>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</si>
  <si>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</si>
  <si>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</si>
  <si>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</si>
  <si>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</si>
  <si>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</si>
  <si>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</si>
  <si>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</si>
  <si>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</si>
  <si>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</si>
  <si>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</si>
  <si>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</si>
  <si>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</si>
  <si>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</si>
  <si>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</si>
  <si>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</si>
  <si>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</si>
  <si>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</si>
  <si>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</si>
  <si>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</si>
  <si>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</si>
  <si>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</si>
  <si>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</si>
  <si>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</si>
  <si>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</si>
  <si>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</si>
  <si>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</si>
  <si>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</si>
  <si>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</si>
  <si>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</si>
  <si>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</si>
  <si>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</si>
  <si>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</si>
  <si>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</si>
  <si>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</si>
  <si>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</si>
  <si>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</si>
  <si>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</si>
  <si>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</si>
  <si>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</si>
  <si>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</si>
  <si>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</si>
  <si>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</si>
  <si>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</si>
  <si>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</si>
  <si>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</si>
  <si>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</si>
  <si>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</si>
  <si>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</si>
  <si>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</si>
  <si>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</si>
  <si>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</si>
  <si>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</si>
  <si>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</si>
  <si>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</si>
  <si>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</si>
  <si>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</si>
  <si>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</si>
  <si>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</si>
  <si>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</si>
  <si>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</si>
  <si>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</si>
  <si>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</si>
  <si>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</si>
  <si>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</si>
  <si>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</si>
  <si>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</si>
  <si>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</si>
  <si>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</si>
  <si>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</si>
  <si>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</si>
  <si>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</si>
  <si>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</si>
  <si>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</si>
  <si>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</si>
  <si>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</si>
  <si>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</si>
  <si>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</si>
  <si>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</si>
  <si>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</si>
  <si>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</si>
  <si>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</si>
  <si>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</si>
  <si>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</si>
  <si>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</si>
  <si>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</si>
  <si>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</si>
  <si>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</si>
  <si>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</si>
  <si>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</si>
  <si>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</si>
  <si>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</si>
  <si>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</si>
  <si>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</si>
  <si>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</si>
  <si>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</si>
  <si>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</si>
  <si>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</si>
  <si>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</si>
  <si>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</si>
  <si>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</si>
  <si>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</si>
  <si>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</si>
  <si>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</si>
  <si>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</si>
  <si>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</si>
  <si>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</si>
  <si>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</si>
  <si>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</si>
  <si>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</si>
  <si>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</si>
  <si>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</si>
  <si>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</si>
  <si>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</si>
  <si>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</si>
  <si>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</si>
  <si>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</si>
  <si>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</si>
  <si>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</si>
  <si>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</si>
  <si>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</si>
  <si>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</si>
  <si>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</si>
  <si>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</si>
  <si>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</si>
  <si>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</si>
  <si>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</si>
  <si>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</si>
  <si>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</si>
  <si>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</si>
  <si>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</si>
  <si>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</si>
  <si>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</si>
  <si>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</si>
  <si>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</si>
  <si>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</si>
  <si>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</si>
  <si>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</si>
  <si>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</si>
  <si>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</si>
  <si>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</si>
  <si>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</si>
  <si>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</si>
  <si>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</si>
  <si>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</si>
  <si>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</si>
  <si>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</si>
  <si>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</si>
  <si>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</si>
  <si>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</si>
  <si>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</si>
  <si>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</si>
  <si>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</si>
  <si>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</si>
  <si>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</si>
  <si>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</si>
  <si>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</si>
  <si>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</si>
  <si>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</si>
  <si>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</si>
  <si>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</si>
  <si>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</si>
  <si>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</si>
  <si>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</si>
  <si>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</si>
  <si>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</si>
  <si>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</si>
  <si>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</si>
  <si>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</si>
  <si>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</si>
  <si>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</si>
  <si>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</si>
  <si>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</si>
  <si>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</si>
  <si>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</si>
  <si>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</si>
  <si>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</si>
  <si>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</si>
  <si>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</si>
  <si>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</si>
  <si>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</si>
  <si>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</si>
  <si>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</si>
  <si>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</si>
  <si>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</si>
  <si>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</si>
  <si>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</si>
  <si>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</si>
  <si>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</si>
  <si>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</si>
  <si>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</si>
  <si>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</si>
  <si>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</si>
  <si>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</si>
  <si>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</si>
  <si>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</si>
  <si>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</si>
  <si>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</si>
  <si>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</si>
  <si>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</si>
  <si>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</si>
  <si>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</si>
  <si>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</si>
  <si>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</si>
  <si>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</si>
  <si>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</si>
  <si>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</si>
  <si>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</si>
  <si>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</si>
  <si>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</si>
  <si>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</si>
  <si>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</si>
  <si>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</si>
  <si>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</si>
  <si>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</si>
  <si>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</si>
  <si>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</si>
  <si>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</si>
  <si>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</si>
  <si>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</si>
  <si>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</si>
  <si>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</si>
  <si>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</si>
  <si>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</si>
  <si>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</si>
  <si>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</si>
  <si>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</si>
  <si>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</si>
  <si>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</si>
  <si>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</si>
  <si>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</si>
  <si>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</si>
  <si>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</si>
  <si>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</si>
  <si>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</si>
  <si>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</si>
  <si>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</si>
  <si>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</si>
  <si>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</si>
  <si>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</si>
  <si>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</si>
  <si>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</si>
  <si>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</si>
  <si>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</si>
  <si>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</si>
  <si>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</si>
  <si>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</si>
  <si>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</si>
  <si>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</si>
  <si>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</si>
  <si>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</si>
  <si>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</si>
  <si>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</si>
  <si>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</si>
  <si>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</si>
  <si>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</si>
  <si>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</si>
  <si>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</si>
  <si>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</si>
  <si>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</si>
  <si>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</si>
  <si>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</si>
  <si>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</si>
  <si>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</si>
  <si>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</si>
  <si>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</si>
  <si>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</si>
  <si>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</si>
  <si>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</si>
  <si>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</si>
  <si>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</si>
  <si>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</si>
  <si>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</si>
  <si>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</si>
  <si>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</si>
  <si>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</si>
  <si>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</si>
  <si>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</si>
  <si>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</si>
  <si>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</si>
  <si>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</si>
  <si>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</si>
  <si>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</si>
  <si>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</si>
  <si>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</si>
  <si>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</si>
  <si>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</si>
  <si>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</si>
  <si>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</si>
  <si>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</si>
  <si>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</si>
  <si>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</si>
  <si>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</si>
  <si>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</si>
  <si>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</si>
  <si>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</si>
  <si>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</si>
  <si>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</si>
  <si>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</si>
  <si>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</si>
  <si>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</si>
  <si>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</si>
  <si>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</si>
  <si>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</si>
  <si>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</si>
  <si>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</si>
  <si>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</si>
  <si>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</si>
  <si>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</si>
  <si>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</si>
  <si>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</si>
  <si>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</si>
  <si>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</si>
  <si>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</si>
  <si>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</si>
  <si>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</si>
  <si>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</si>
  <si>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</si>
  <si>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</si>
  <si>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</si>
  <si>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</si>
  <si>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</si>
  <si>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</si>
  <si>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</si>
  <si>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</si>
  <si>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</si>
  <si>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</si>
  <si>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</si>
  <si>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</si>
  <si>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</si>
  <si>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</si>
  <si>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</si>
  <si>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</si>
  <si>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</si>
  <si>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</si>
  <si>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</si>
  <si>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</si>
  <si>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</si>
  <si>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</si>
  <si>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</si>
  <si>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</si>
  <si>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</si>
  <si>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</si>
  <si>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</si>
  <si>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</si>
  <si>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</si>
  <si>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</si>
  <si>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</si>
  <si>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</si>
  <si>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</si>
  <si>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</si>
  <si>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</si>
  <si>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</si>
  <si>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</si>
  <si>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</si>
  <si>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</si>
  <si>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</si>
  <si>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</si>
  <si>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</si>
  <si>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</si>
  <si>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</si>
  <si>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</si>
  <si>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</si>
  <si>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</si>
  <si>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</si>
  <si>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</si>
  <si>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</si>
  <si>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</si>
  <si>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</si>
  <si>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</si>
  <si>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</si>
  <si>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</si>
  <si>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</si>
  <si>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</si>
  <si>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</si>
  <si>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</si>
  <si>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</si>
  <si>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</si>
  <si>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</si>
  <si>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</si>
  <si>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</si>
  <si>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</si>
  <si>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</si>
  <si>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</si>
  <si>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</si>
  <si>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</si>
  <si>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</si>
  <si>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</si>
  <si>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</si>
  <si>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</si>
  <si>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</si>
  <si>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</si>
  <si>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</si>
  <si>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</si>
  <si>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</si>
  <si>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</si>
  <si>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</si>
  <si>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</si>
  <si>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</si>
  <si>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</si>
  <si>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</si>
  <si>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</si>
  <si>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</si>
  <si>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</si>
  <si>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</si>
  <si>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</si>
  <si>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</si>
  <si>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</si>
  <si>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</si>
  <si>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</si>
  <si>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</si>
  <si>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</si>
  <si>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</si>
  <si>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</si>
  <si>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</si>
  <si>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</si>
  <si>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</si>
  <si>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</si>
  <si>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</si>
  <si>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</si>
  <si>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</si>
  <si>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</si>
  <si>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</si>
  <si>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</si>
  <si>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</si>
  <si>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</si>
  <si>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</si>
  <si>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</si>
  <si>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</si>
  <si>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</si>
  <si>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</si>
  <si>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</si>
  <si>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</si>
  <si>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</si>
  <si>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</si>
  <si>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</si>
  <si>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</si>
  <si>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</si>
  <si>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</si>
  <si>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</si>
  <si>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</si>
  <si>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</si>
  <si>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</si>
  <si>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</si>
  <si>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</si>
  <si>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</si>
  <si>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</si>
  <si>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</si>
  <si>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</si>
  <si>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</si>
  <si>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</si>
  <si>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</si>
  <si>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</si>
  <si>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</si>
  <si>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</si>
  <si>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</si>
  <si>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</si>
  <si>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</si>
  <si>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</si>
  <si>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</si>
  <si>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</si>
  <si>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</si>
  <si>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</si>
  <si>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</si>
  <si>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</si>
  <si>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</si>
  <si>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</si>
  <si>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</si>
  <si>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</si>
  <si>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</si>
  <si>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</si>
  <si>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</si>
  <si>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</si>
  <si>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</si>
  <si>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</si>
  <si>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</si>
  <si>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</si>
  <si>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</si>
  <si>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</si>
  <si>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</si>
  <si>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</si>
  <si>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</si>
  <si>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</si>
  <si>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</si>
  <si>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</si>
  <si>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</si>
  <si>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</si>
  <si>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</si>
  <si>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</si>
  <si>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</si>
  <si>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</si>
  <si>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</si>
  <si>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</si>
  <si>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</si>
  <si>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</si>
  <si>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</si>
  <si>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</si>
  <si>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</si>
  <si>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</si>
  <si>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</si>
  <si>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</si>
  <si>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</si>
  <si>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</si>
  <si>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</si>
  <si>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</si>
  <si>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</si>
  <si>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</si>
  <si>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</si>
  <si>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</si>
  <si>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</si>
  <si>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</si>
  <si>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</si>
  <si>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</si>
  <si>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</si>
  <si>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</si>
  <si>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</si>
  <si>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</si>
  <si>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</si>
  <si>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</si>
  <si>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</si>
  <si>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</si>
  <si>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</si>
  <si>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</si>
  <si>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</si>
  <si>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</si>
  <si>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</si>
  <si>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</si>
  <si>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</si>
  <si>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</si>
  <si>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</si>
  <si>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</si>
  <si>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</si>
  <si>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</si>
  <si>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</si>
  <si>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</si>
  <si>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</si>
  <si>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</si>
  <si>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</si>
  <si>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</si>
  <si>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</si>
  <si>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</si>
  <si>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</si>
  <si>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</si>
  <si>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</si>
  <si>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</si>
  <si>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</si>
  <si>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</si>
  <si>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</si>
  <si>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</si>
  <si>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</si>
  <si>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</si>
  <si>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</si>
  <si>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</si>
  <si>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</si>
  <si>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</si>
  <si>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</si>
  <si>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</si>
  <si>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</si>
  <si>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</si>
  <si>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</si>
  <si>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</si>
  <si>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</si>
  <si>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</si>
  <si>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</si>
  <si>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</si>
  <si>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</si>
  <si>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</si>
  <si>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</si>
  <si>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</si>
  <si>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</si>
  <si>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</si>
  <si>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</si>
  <si>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</si>
  <si>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</si>
  <si>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</si>
  <si>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</si>
  <si>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</si>
  <si>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</si>
  <si>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</si>
  <si>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</si>
  <si>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</si>
  <si>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</si>
  <si>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</si>
  <si>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</si>
  <si>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</si>
  <si>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</si>
  <si>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</si>
  <si>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</si>
  <si>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</si>
  <si>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</si>
  <si>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</si>
  <si>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</si>
  <si>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</si>
  <si>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</si>
  <si>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</si>
  <si>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</si>
  <si>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</si>
  <si>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</si>
  <si>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</si>
  <si>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</si>
  <si>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</si>
  <si>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</si>
  <si>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</si>
  <si>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</si>
  <si>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</si>
  <si>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</si>
  <si>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</si>
  <si>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</si>
  <si>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</si>
  <si>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</si>
  <si>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</si>
  <si>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</si>
  <si>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</si>
  <si>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</si>
  <si>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</si>
  <si>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</si>
  <si>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</si>
  <si>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</si>
  <si>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</si>
  <si>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</si>
  <si>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</si>
  <si>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</si>
  <si>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</si>
  <si>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</si>
  <si>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</si>
  <si>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</si>
  <si>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</si>
  <si>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</si>
  <si>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</si>
  <si>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</si>
  <si>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</si>
  <si>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</si>
  <si>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</si>
  <si>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</si>
  <si>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</si>
  <si>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</si>
  <si>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</si>
  <si>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</si>
  <si>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</si>
  <si>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</si>
  <si>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</si>
  <si>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</si>
  <si>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</si>
  <si>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</si>
  <si>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</si>
  <si>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</si>
  <si>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</si>
  <si>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</si>
  <si>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</si>
  <si>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</si>
  <si>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</si>
  <si>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</si>
  <si>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</si>
  <si>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</si>
  <si>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</si>
  <si>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</si>
  <si>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</si>
  <si>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</si>
  <si>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</si>
  <si>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</si>
  <si>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</si>
  <si>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</si>
  <si>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</si>
  <si>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</si>
  <si>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</si>
  <si>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</si>
  <si>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</si>
  <si>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</si>
  <si>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</si>
  <si>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</si>
  <si>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</si>
  <si>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</si>
  <si>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</si>
  <si>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</si>
  <si>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</si>
  <si>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</si>
  <si>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</si>
  <si>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</si>
  <si>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</si>
  <si>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</si>
  <si>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</si>
  <si>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</si>
  <si>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</si>
  <si>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</si>
  <si>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</si>
  <si>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</si>
  <si>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</si>
  <si>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</si>
  <si>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</si>
  <si>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</si>
  <si>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</si>
  <si>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</si>
  <si>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</si>
  <si>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</si>
  <si>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</si>
  <si>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</si>
  <si>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</si>
  <si>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</si>
  <si>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</si>
  <si>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</si>
  <si>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</si>
  <si>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</si>
  <si>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</si>
  <si>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</si>
  <si>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</si>
  <si>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</si>
  <si>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</si>
  <si>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</si>
  <si>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</si>
  <si>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</si>
  <si>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</si>
  <si>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</si>
  <si>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</si>
  <si>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</si>
  <si>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</si>
  <si>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</si>
  <si>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</si>
  <si>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</si>
  <si>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</si>
  <si>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</si>
  <si>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</si>
  <si>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</si>
  <si>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</si>
  <si>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</si>
  <si>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</si>
  <si>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</si>
  <si>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</si>
  <si>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</si>
  <si>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</si>
  <si>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</si>
  <si>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</si>
  <si>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</si>
  <si>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</si>
  <si>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</si>
  <si>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</si>
  <si>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</si>
  <si>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</si>
  <si>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</si>
  <si>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</si>
  <si>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</si>
  <si>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</si>
  <si>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</si>
  <si>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</si>
  <si>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</si>
  <si>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</si>
  <si>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</si>
  <si>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</si>
  <si>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</si>
  <si>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</si>
  <si>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</si>
  <si>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</si>
  <si>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</si>
  <si>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</si>
  <si>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</si>
  <si>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</si>
  <si>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</si>
  <si>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</si>
  <si>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</si>
  <si>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</si>
  <si>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</si>
  <si>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</si>
  <si>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</si>
  <si>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</si>
  <si>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</si>
  <si>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</si>
  <si>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</si>
  <si>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</si>
  <si>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</si>
  <si>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</si>
  <si>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</si>
  <si>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</si>
  <si>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</si>
  <si>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</si>
  <si>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</si>
  <si>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</si>
  <si>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</si>
  <si>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</si>
  <si>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</si>
  <si>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</si>
  <si>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</si>
  <si>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</si>
  <si>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</si>
  <si>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</si>
  <si>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</si>
  <si>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</si>
  <si>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</si>
  <si>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</si>
  <si>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</si>
  <si>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</si>
  <si>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</si>
  <si>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</si>
  <si>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</si>
  <si>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</si>
  <si>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</si>
  <si>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</si>
  <si>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</si>
  <si>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</si>
  <si>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</si>
  <si>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</si>
  <si>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</si>
  <si>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</si>
  <si>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</si>
  <si>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</si>
  <si>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</si>
  <si>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</si>
  <si>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</si>
  <si>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</si>
  <si>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</si>
  <si>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</si>
  <si>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</si>
  <si>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</si>
  <si>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</si>
  <si>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</si>
  <si>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</si>
  <si>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</si>
  <si>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</si>
  <si>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</si>
  <si>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</si>
  <si>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</si>
  <si>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</si>
  <si>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</si>
  <si>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</si>
  <si>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</si>
  <si>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</si>
  <si>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</si>
  <si>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</si>
  <si>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</si>
  <si>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</si>
  <si>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</si>
  <si>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</si>
  <si>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</si>
  <si>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</si>
  <si>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</si>
  <si>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</si>
  <si>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</si>
  <si>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</si>
  <si>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</si>
  <si>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</si>
  <si>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</si>
  <si>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</si>
  <si>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</si>
  <si>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</si>
  <si>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</si>
  <si>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</si>
  <si>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</si>
  <si>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</si>
  <si>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</si>
  <si>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</si>
  <si>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</si>
  <si>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</si>
  <si>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</si>
  <si>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</si>
  <si>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</si>
  <si>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</si>
  <si>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</si>
  <si>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</si>
  <si>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</si>
  <si>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</si>
  <si>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</si>
  <si>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</si>
  <si>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</si>
  <si>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</si>
  <si>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</si>
  <si>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</si>
  <si>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</si>
  <si>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</si>
  <si>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</si>
  <si>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</si>
  <si>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</si>
  <si>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</si>
  <si>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</si>
  <si>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</si>
  <si>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</si>
  <si>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</si>
  <si>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</si>
  <si>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</si>
  <si>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</si>
  <si>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</si>
  <si>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</si>
  <si>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</si>
  <si>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</si>
  <si>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</si>
  <si>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</si>
  <si>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</si>
  <si>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</si>
  <si>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</si>
  <si>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</si>
  <si>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</si>
  <si>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</si>
  <si>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</si>
  <si>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</si>
  <si>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</si>
  <si>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</si>
  <si>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</si>
  <si>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</si>
  <si>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</si>
  <si>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</si>
  <si>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</si>
  <si>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</si>
  <si>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</si>
  <si>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</si>
  <si>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</si>
  <si>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</si>
  <si>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</si>
  <si>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</si>
  <si>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</si>
  <si>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</si>
  <si>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</si>
  <si>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</si>
  <si>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</si>
  <si>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</si>
  <si>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</si>
  <si>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</si>
  <si>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</si>
  <si>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</si>
  <si>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</si>
  <si>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</si>
  <si>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</si>
  <si>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</si>
  <si>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</si>
  <si>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</si>
  <si>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</si>
  <si>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</si>
  <si>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</si>
  <si>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</si>
  <si>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</si>
  <si>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</si>
  <si>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</si>
  <si>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</si>
  <si>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</si>
  <si>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</si>
  <si>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</si>
  <si>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</si>
  <si>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</si>
  <si>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</si>
  <si>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</si>
  <si>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</si>
  <si>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</si>
  <si>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</si>
  <si>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</si>
  <si>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</si>
  <si>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</si>
  <si>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</si>
  <si>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</si>
  <si>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</si>
  <si>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</si>
  <si>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</si>
  <si>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</si>
  <si>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</si>
  <si>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</si>
  <si>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</si>
  <si>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</si>
  <si>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</si>
  <si>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</si>
  <si>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</si>
  <si>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</si>
  <si>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</si>
  <si>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</si>
  <si>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</si>
  <si>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</si>
  <si>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</si>
  <si>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</si>
  <si>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</si>
  <si>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</si>
  <si>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</si>
  <si>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</si>
  <si>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</si>
  <si>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</si>
  <si>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</si>
  <si>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</si>
  <si>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</si>
  <si>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</si>
  <si>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</si>
  <si>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</si>
  <si>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</si>
  <si>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</si>
  <si>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</si>
  <si>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</si>
  <si>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</si>
  <si>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</si>
  <si>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</si>
  <si>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</si>
  <si>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</si>
  <si>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</si>
  <si>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</si>
  <si>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</si>
  <si>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</si>
  <si>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</si>
  <si>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</si>
  <si>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</si>
  <si>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</si>
  <si>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</si>
  <si>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</si>
  <si>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</si>
  <si>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</si>
  <si>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</si>
  <si>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</si>
  <si>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</si>
  <si>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</si>
  <si>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</si>
  <si>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</si>
  <si>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</si>
  <si>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</si>
  <si>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</si>
  <si>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</si>
  <si>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</si>
  <si>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</si>
  <si>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</si>
  <si>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</si>
  <si>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</si>
  <si>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</si>
  <si>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</si>
  <si>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</si>
  <si>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</si>
  <si>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</si>
  <si>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</si>
  <si>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</si>
  <si>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</si>
  <si>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</si>
  <si>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</si>
  <si>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</si>
  <si>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</si>
  <si>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</si>
  <si>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</si>
  <si>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</si>
  <si>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</si>
  <si>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</si>
  <si>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</si>
  <si>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</si>
  <si>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</si>
  <si>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</si>
  <si>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</si>
  <si>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</si>
  <si>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</si>
  <si>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</si>
  <si>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</si>
  <si>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</si>
  <si>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</si>
  <si>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</si>
  <si>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</si>
  <si>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</si>
  <si>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</si>
  <si>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</si>
  <si>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</si>
  <si>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</si>
  <si>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</si>
  <si>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</si>
  <si>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</si>
  <si>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</si>
  <si>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</si>
  <si>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</si>
  <si>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</si>
  <si>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</si>
  <si>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</si>
  <si>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</si>
  <si>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</si>
  <si>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</si>
  <si>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</si>
  <si>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</si>
  <si>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</si>
  <si>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</si>
  <si>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</si>
  <si>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</si>
  <si>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</si>
  <si>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</si>
  <si>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</si>
  <si>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</si>
  <si>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</si>
  <si>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</si>
  <si>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</si>
  <si>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</si>
  <si>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</si>
  <si>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</si>
  <si>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</si>
  <si>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</si>
  <si>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</si>
  <si>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</si>
  <si>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</si>
  <si>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</si>
  <si>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</si>
  <si>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</si>
  <si>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</si>
  <si>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</si>
  <si>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</si>
  <si>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</si>
  <si>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</si>
  <si>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</si>
  <si>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</si>
  <si>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</si>
  <si>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</si>
  <si>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</si>
  <si>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</si>
  <si>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</si>
  <si>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</si>
  <si>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</si>
  <si>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</si>
  <si>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</si>
  <si>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</si>
  <si>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</si>
  <si>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</si>
  <si>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</si>
  <si>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</si>
  <si>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</si>
  <si>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</si>
  <si>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</si>
  <si>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</si>
  <si>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</si>
  <si>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</si>
  <si>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</si>
  <si>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</si>
  <si>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</si>
  <si>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</si>
  <si>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</si>
  <si>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</si>
  <si>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</si>
  <si>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</si>
  <si>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</si>
  <si>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</si>
  <si>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</si>
  <si>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</si>
  <si>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</si>
  <si>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</si>
  <si>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</si>
  <si>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</si>
  <si>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</si>
  <si>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</si>
  <si>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</si>
  <si>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</si>
  <si>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</si>
  <si>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</si>
  <si>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</si>
  <si>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</si>
  <si>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</si>
  <si>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</si>
  <si>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</si>
  <si>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</si>
  <si>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</si>
  <si>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</si>
  <si>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</si>
  <si>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</si>
  <si>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</si>
  <si>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</si>
  <si>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</si>
  <si>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</si>
  <si>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</si>
  <si>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</si>
  <si>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</si>
  <si>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</si>
  <si>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</si>
  <si>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</si>
  <si>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</si>
  <si>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</si>
  <si>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</si>
  <si>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</si>
  <si>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</si>
  <si>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</si>
  <si>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</si>
  <si>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</si>
  <si>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</si>
  <si>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</si>
  <si>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</si>
  <si>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</si>
  <si>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</si>
  <si>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</si>
  <si>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</si>
  <si>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</si>
  <si>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</si>
  <si>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</si>
  <si>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</si>
  <si>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</si>
  <si>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</si>
  <si>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</si>
  <si>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</si>
  <si>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</si>
  <si>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</si>
  <si>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</si>
  <si>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</si>
  <si>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</si>
  <si>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</si>
  <si>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</si>
  <si>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</si>
  <si>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</si>
  <si>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</si>
  <si>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</si>
  <si>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</si>
  <si>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</si>
  <si>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</si>
  <si>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</si>
  <si>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</si>
  <si>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</si>
  <si>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</si>
  <si>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</si>
  <si>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</si>
  <si>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</si>
  <si>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</si>
  <si>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</si>
  <si>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</si>
  <si>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</si>
  <si>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</si>
  <si>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</si>
  <si>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</si>
  <si>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</si>
  <si>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</si>
  <si>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</si>
  <si>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</si>
  <si>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</si>
  <si>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</si>
  <si>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</si>
  <si>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</si>
  <si>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</si>
  <si>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</si>
  <si>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</si>
  <si>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</si>
  <si>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</si>
  <si>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</si>
  <si>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</si>
  <si>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</si>
  <si>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</si>
  <si>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</si>
  <si>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</si>
  <si>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</si>
  <si>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</si>
  <si>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</si>
  <si>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</si>
  <si>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</si>
  <si>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</si>
  <si>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</si>
  <si>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</si>
  <si>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</si>
  <si>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</si>
  <si>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</si>
  <si>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</si>
  <si>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</si>
  <si>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</si>
  <si>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</si>
  <si>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</si>
  <si>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</si>
  <si>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</si>
  <si>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</si>
  <si>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</si>
  <si>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</si>
  <si>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</si>
  <si>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</si>
  <si>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</si>
  <si>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</si>
  <si>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</si>
  <si>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</si>
  <si>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</si>
  <si>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</si>
  <si>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</si>
  <si>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</si>
  <si>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</si>
  <si>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</si>
  <si>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</si>
  <si>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</si>
  <si>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</si>
  <si>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</si>
  <si>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</si>
  <si>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</si>
  <si>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</si>
  <si>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</si>
  <si>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</si>
  <si>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</si>
  <si>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</si>
  <si>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</si>
  <si>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</si>
  <si>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</si>
  <si>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</si>
  <si>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</si>
  <si>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</si>
  <si>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</si>
  <si>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</si>
  <si>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</si>
  <si>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</si>
  <si>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</si>
  <si>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</si>
  <si>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</si>
  <si>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</si>
  <si>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</si>
  <si>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</si>
  <si>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</si>
  <si>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</si>
  <si>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</si>
  <si>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</si>
  <si>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</si>
  <si>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</si>
  <si>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</si>
  <si>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</si>
  <si>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</si>
  <si>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</si>
  <si>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</si>
  <si>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</si>
  <si>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</si>
  <si>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</si>
  <si>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</si>
  <si>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</si>
  <si>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</si>
  <si>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</si>
  <si>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</si>
  <si>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</si>
  <si>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</si>
  <si>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</si>
  <si>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</si>
  <si>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</si>
  <si>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</si>
  <si>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</si>
  <si>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</si>
  <si>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</si>
  <si>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</si>
  <si>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</si>
  <si>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</si>
  <si>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</si>
  <si>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</si>
  <si>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</si>
  <si>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</si>
  <si>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</si>
  <si>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</si>
  <si>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</si>
  <si>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</si>
  <si>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</si>
  <si>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</si>
  <si>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</si>
  <si>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</si>
  <si>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</si>
  <si>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</si>
  <si>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</si>
  <si>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</si>
  <si>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</si>
  <si>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</si>
  <si>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</si>
  <si>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</si>
  <si>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</si>
  <si>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</si>
  <si>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</si>
  <si>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</si>
  <si>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</si>
  <si>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</si>
  <si>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</si>
  <si>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</si>
  <si>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</si>
  <si>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</si>
  <si>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</si>
  <si>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</si>
  <si>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</si>
  <si>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</si>
  <si>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</si>
  <si>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</si>
  <si>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</si>
  <si>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</si>
  <si>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</si>
  <si>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</si>
  <si>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</si>
  <si>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</si>
  <si>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</si>
  <si>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</si>
  <si>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</si>
  <si>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</si>
  <si>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</si>
  <si>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</si>
  <si>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</si>
  <si>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</si>
  <si>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</si>
  <si>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</si>
  <si>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</si>
  <si>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</si>
  <si>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</si>
  <si>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</si>
  <si>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</si>
  <si>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</si>
  <si>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</si>
  <si>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</si>
  <si>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</si>
  <si>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</si>
  <si>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</si>
  <si>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</si>
  <si>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</si>
  <si>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</si>
  <si>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</si>
  <si>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</si>
  <si>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</si>
  <si>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</si>
  <si>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</si>
  <si>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</si>
  <si>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</si>
  <si>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</si>
  <si>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</si>
  <si>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</si>
  <si>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</si>
  <si>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</si>
  <si>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</si>
  <si>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</si>
  <si>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</si>
  <si>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</si>
  <si>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</si>
  <si>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</si>
  <si>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</si>
  <si>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</si>
  <si>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</si>
  <si>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</si>
  <si>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</si>
  <si>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</si>
  <si>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</si>
  <si>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</si>
  <si>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</si>
  <si>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</si>
  <si>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</si>
  <si>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</si>
  <si>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</si>
  <si>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</si>
  <si>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</si>
  <si>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</si>
  <si>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</si>
  <si>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</si>
  <si>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</si>
  <si>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</si>
  <si>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</si>
  <si>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</si>
  <si>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</si>
  <si>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</si>
  <si>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</si>
  <si>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</si>
  <si>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</si>
  <si>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</si>
  <si>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</si>
  <si>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</si>
  <si>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</si>
  <si>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</si>
  <si>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</si>
  <si>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</si>
  <si>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</si>
  <si>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</si>
  <si>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</si>
  <si>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</si>
  <si>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</si>
  <si>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</si>
  <si>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</si>
  <si>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</si>
  <si>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</si>
  <si>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</si>
  <si>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</si>
  <si>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</si>
  <si>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</si>
  <si>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</si>
  <si>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</si>
  <si>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</si>
  <si>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</si>
  <si>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</si>
  <si>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</si>
  <si>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</si>
  <si>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</si>
  <si>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</si>
  <si>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</si>
  <si>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</si>
  <si>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</si>
  <si>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</si>
  <si>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</si>
  <si>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</si>
  <si>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</si>
  <si>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</si>
  <si>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</si>
  <si>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</si>
  <si>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</si>
  <si>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</si>
  <si>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</si>
  <si>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</si>
  <si>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</si>
  <si>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</si>
  <si>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</si>
  <si>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</si>
  <si>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</si>
  <si>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</si>
  <si>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</si>
  <si>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</si>
  <si>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</si>
  <si>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</si>
  <si>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</si>
  <si>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</si>
  <si>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</si>
  <si>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</si>
  <si>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</si>
  <si>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</si>
  <si>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</si>
  <si>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</si>
  <si>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</si>
  <si>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</si>
  <si>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</si>
  <si>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</si>
  <si>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</si>
  <si>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</si>
  <si>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</si>
  <si>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</si>
  <si>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</si>
  <si>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</si>
  <si>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</si>
  <si>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</si>
  <si>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</si>
  <si>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</si>
  <si>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</si>
  <si>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</si>
  <si>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</si>
  <si>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</si>
  <si>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</si>
  <si>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</si>
  <si>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</si>
  <si>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</si>
  <si>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</si>
  <si>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</si>
  <si>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</si>
  <si>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</si>
  <si>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</si>
  <si>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</si>
  <si>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</si>
  <si>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</si>
  <si>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</si>
  <si>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</si>
  <si>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</si>
  <si>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</si>
  <si>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</si>
  <si>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</si>
  <si>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</si>
  <si>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</si>
  <si>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</si>
  <si>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</si>
  <si>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</si>
  <si>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</si>
  <si>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</si>
  <si>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</si>
  <si>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</si>
  <si>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</si>
  <si>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</si>
  <si>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</si>
  <si>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</si>
  <si>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</si>
  <si>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</si>
  <si>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</si>
  <si>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</si>
  <si>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</si>
  <si>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</si>
  <si>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</si>
  <si>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</si>
  <si>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</si>
  <si>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</si>
  <si>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</si>
  <si>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</si>
  <si>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</si>
  <si>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</si>
  <si>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</si>
  <si>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</si>
  <si>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</si>
  <si>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</si>
  <si>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</si>
  <si>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</si>
  <si>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</si>
  <si>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</si>
  <si>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</si>
  <si>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</si>
  <si>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</si>
  <si>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</si>
  <si>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</si>
  <si>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</si>
  <si>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</si>
  <si>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</si>
  <si>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</si>
  <si>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</si>
  <si>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</si>
  <si>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</si>
  <si>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</si>
  <si>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</si>
  <si>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</si>
  <si>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</si>
  <si>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</si>
  <si>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</si>
  <si>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</si>
  <si>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</si>
  <si>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</si>
  <si>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</si>
  <si>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</si>
  <si>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</si>
  <si>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</si>
  <si>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</si>
  <si>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</si>
  <si>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</si>
  <si>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</si>
  <si>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</si>
  <si>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</si>
  <si>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</si>
  <si>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</si>
  <si>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</si>
  <si>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</si>
  <si>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</si>
  <si>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</si>
  <si>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</si>
  <si>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</si>
  <si>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</si>
  <si>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</si>
  <si>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</si>
  <si>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</si>
  <si>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</si>
  <si>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</si>
  <si>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</si>
  <si>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</si>
  <si>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</si>
  <si>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</si>
  <si>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</si>
  <si>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</si>
  <si>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</si>
  <si>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</si>
  <si>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</si>
  <si>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</si>
  <si>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</si>
  <si>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</si>
  <si>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</si>
  <si>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</si>
  <si>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</si>
  <si>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</si>
  <si>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</si>
  <si>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</si>
  <si>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</si>
  <si>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</si>
  <si>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</si>
  <si>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</si>
  <si>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</si>
  <si>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</si>
  <si>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</si>
  <si>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</si>
  <si>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</si>
  <si>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</si>
  <si>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</si>
  <si>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</si>
  <si>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</si>
  <si>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</si>
  <si>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</si>
  <si>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</si>
  <si>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</si>
  <si>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</si>
  <si>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</si>
  <si>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</si>
  <si>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</si>
  <si>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</si>
  <si>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</si>
  <si>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</si>
  <si>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</si>
  <si>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</si>
  <si>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</si>
  <si>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</si>
  <si>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</si>
  <si>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</si>
  <si>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</si>
  <si>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</si>
  <si>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</si>
  <si>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</si>
  <si>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</si>
  <si>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</si>
  <si>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</si>
  <si>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</si>
  <si>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</si>
  <si>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</si>
  <si>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</si>
  <si>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</si>
  <si>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</si>
  <si>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</si>
  <si>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</si>
  <si>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</si>
  <si>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</si>
  <si>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</si>
  <si>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</si>
  <si>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</si>
  <si>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</si>
  <si>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</si>
  <si>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</si>
  <si>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</si>
  <si>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</si>
  <si>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</si>
  <si>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</si>
  <si>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</si>
  <si>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</si>
  <si>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</si>
  <si>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</si>
  <si>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</si>
  <si>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</si>
  <si>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</si>
  <si>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</si>
  <si>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</si>
  <si>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</si>
  <si>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</si>
  <si>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</si>
  <si>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</si>
  <si>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</si>
  <si>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</si>
  <si>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</si>
  <si>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</si>
  <si>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</si>
  <si>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</si>
  <si>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</si>
  <si>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</si>
  <si>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</si>
  <si>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</si>
  <si>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</si>
  <si>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</si>
  <si>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</si>
  <si>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</si>
  <si>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</si>
  <si>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</si>
  <si>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</si>
  <si>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</si>
  <si>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</si>
  <si>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</si>
  <si>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</si>
  <si>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</si>
  <si>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</si>
  <si>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</si>
  <si>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</si>
  <si>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</si>
  <si>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</si>
  <si>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</si>
  <si>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</si>
  <si>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</si>
  <si>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</si>
  <si>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</si>
  <si>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</si>
  <si>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</si>
  <si>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</si>
  <si>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</si>
  <si>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</si>
  <si>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</si>
  <si>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</si>
  <si>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</si>
  <si>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</si>
  <si>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</si>
  <si>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</si>
  <si>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</si>
  <si>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</si>
  <si>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</si>
  <si>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</si>
  <si>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</si>
  <si>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</si>
  <si>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</si>
  <si>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</si>
  <si>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</si>
  <si>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</si>
  <si>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</si>
  <si>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</si>
  <si>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</si>
  <si>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</si>
  <si>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</si>
  <si>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</si>
  <si>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</si>
  <si>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</si>
  <si>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</si>
  <si>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</si>
  <si>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</si>
  <si>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</si>
  <si>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</si>
  <si>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</si>
  <si>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</si>
  <si>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</si>
  <si>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</si>
  <si>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</si>
  <si>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</si>
  <si>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</si>
  <si>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</si>
  <si>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</si>
  <si>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</si>
  <si>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</si>
  <si>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</si>
  <si>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</si>
  <si>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</si>
  <si>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</si>
  <si>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</si>
  <si>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</si>
  <si>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</si>
  <si>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</si>
  <si>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</si>
  <si>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</si>
  <si>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</si>
  <si>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</si>
  <si>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</si>
  <si>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</si>
  <si>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</si>
  <si>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</si>
  <si>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</si>
  <si>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</si>
  <si>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</si>
  <si>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</si>
  <si>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</si>
  <si>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</si>
  <si>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</si>
  <si>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</si>
  <si>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</si>
  <si>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</si>
  <si>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</si>
  <si>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</si>
  <si>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</si>
  <si>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</si>
  <si>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</si>
  <si>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</si>
  <si>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</si>
  <si>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</si>
  <si>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</si>
  <si>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</si>
  <si>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</si>
  <si>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</si>
  <si>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</si>
  <si>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</si>
  <si>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</si>
  <si>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</si>
  <si>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</si>
  <si>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</si>
  <si>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</si>
  <si>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</si>
  <si>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</si>
  <si>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</si>
  <si>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</si>
  <si>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</si>
  <si>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</si>
  <si>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</si>
  <si>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</si>
  <si>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</si>
  <si>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</si>
  <si>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</si>
  <si>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</si>
  <si>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</si>
  <si>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</si>
  <si>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</si>
  <si>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</si>
  <si>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</si>
  <si>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</si>
  <si>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</si>
  <si>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</si>
  <si>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</si>
  <si>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</si>
  <si>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</si>
  <si>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</si>
  <si>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</si>
  <si>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</si>
  <si>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</si>
  <si>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</si>
  <si>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</si>
  <si>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</si>
  <si>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</si>
  <si>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</si>
  <si>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</si>
  <si>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</si>
  <si>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</si>
  <si>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</si>
  <si>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</si>
  <si>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</si>
  <si>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</si>
  <si>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</si>
  <si>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</si>
  <si>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</si>
  <si>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</si>
  <si>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</si>
  <si>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</si>
  <si>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</si>
  <si>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</si>
  <si>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</si>
  <si>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</si>
  <si>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</si>
  <si>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</si>
  <si>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</si>
  <si>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</si>
  <si>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</si>
  <si>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</si>
  <si>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</si>
  <si>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</si>
  <si>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</si>
  <si>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</si>
  <si>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</si>
  <si>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</si>
  <si>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</si>
  <si>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</si>
  <si>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</si>
  <si>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</si>
  <si>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</si>
  <si>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</si>
  <si>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</si>
  <si>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</si>
  <si>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</si>
  <si>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</si>
  <si>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</si>
  <si>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</si>
  <si>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</si>
  <si>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</si>
  <si>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</si>
  <si>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</si>
  <si>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</si>
  <si>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</si>
  <si>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</si>
  <si>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</si>
  <si>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</si>
  <si>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</si>
  <si>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</si>
  <si>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</si>
  <si>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</si>
  <si>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</si>
  <si>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</si>
  <si>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</si>
  <si>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</si>
  <si>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</si>
  <si>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</si>
  <si>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</si>
  <si>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</si>
  <si>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</si>
  <si>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</si>
  <si>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</si>
  <si>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</si>
  <si>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</si>
  <si>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</si>
  <si>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</si>
  <si>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</si>
  <si>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</si>
  <si>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</si>
  <si>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</si>
  <si>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</si>
  <si>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</si>
  <si>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</si>
  <si>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</si>
  <si>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</si>
  <si>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</si>
  <si>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</si>
  <si>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</si>
  <si>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</si>
  <si>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</si>
  <si>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</si>
  <si>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</si>
  <si>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</si>
  <si>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</si>
  <si>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</si>
  <si>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</si>
  <si>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</si>
  <si>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</si>
  <si>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</si>
  <si>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</si>
  <si>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</si>
  <si>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</si>
  <si>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</si>
  <si>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</si>
  <si>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</si>
  <si>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</si>
  <si>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</si>
  <si>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</si>
  <si>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</si>
  <si>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</si>
  <si>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</si>
  <si>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</si>
  <si>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</si>
  <si>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</si>
  <si>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</si>
  <si>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</si>
  <si>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</si>
  <si>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</si>
  <si>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</si>
  <si>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</si>
  <si>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</si>
  <si>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</si>
  <si>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</si>
  <si>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</si>
  <si>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</si>
  <si>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</si>
  <si>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</si>
  <si>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</si>
  <si>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</si>
  <si>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</si>
  <si>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</si>
  <si>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</si>
  <si>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</si>
  <si>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</si>
  <si>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</si>
  <si>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</si>
  <si>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</si>
  <si>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</si>
  <si>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</si>
  <si>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</si>
  <si>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</si>
  <si>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</si>
  <si>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</si>
  <si>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</si>
  <si>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</si>
  <si>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</si>
  <si>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</si>
  <si>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</si>
  <si>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</si>
  <si>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</si>
  <si>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</si>
  <si>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</si>
  <si>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</si>
  <si>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</si>
  <si>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</si>
  <si>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</si>
  <si>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</si>
  <si>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</si>
  <si>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</si>
  <si>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</si>
  <si>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</si>
  <si>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</si>
  <si>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</si>
  <si>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</si>
  <si>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</si>
  <si>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</si>
  <si>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</si>
  <si>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</si>
  <si>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</si>
  <si>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</si>
  <si>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</si>
  <si>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</si>
  <si>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</si>
  <si>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</si>
  <si>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</si>
  <si>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</si>
  <si>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</si>
  <si>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</si>
  <si>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</si>
  <si>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</si>
  <si>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</si>
  <si>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</si>
  <si>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</si>
  <si>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</si>
  <si>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</si>
  <si>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</si>
  <si>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</si>
  <si>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</si>
  <si>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</si>
  <si>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</si>
  <si>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</si>
  <si>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</si>
  <si>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</si>
  <si>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</si>
  <si>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</si>
  <si>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</si>
  <si>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</si>
  <si>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</si>
  <si>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</si>
  <si>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</si>
  <si>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</si>
  <si>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</si>
  <si>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</si>
  <si>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</si>
  <si>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</si>
  <si>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</si>
  <si>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</si>
  <si>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</si>
  <si>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</si>
  <si>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</si>
  <si>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</si>
  <si>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</si>
  <si>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</si>
  <si>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</si>
  <si>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</si>
  <si>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</si>
  <si>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</si>
  <si>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</si>
  <si>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</si>
  <si>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</si>
  <si>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</si>
  <si>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</si>
  <si>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</si>
  <si>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</si>
  <si>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</si>
  <si>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</si>
  <si>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</si>
  <si>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</si>
  <si>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</si>
  <si>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</si>
  <si>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</si>
  <si>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</si>
  <si>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</si>
  <si>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</si>
  <si>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</si>
  <si>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</si>
  <si>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</si>
  <si>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</si>
  <si>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</si>
  <si>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</si>
  <si>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</si>
  <si>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</si>
  <si>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</si>
  <si>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</si>
  <si>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</si>
  <si>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</si>
  <si>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</si>
  <si>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</si>
  <si>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</si>
  <si>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</si>
  <si>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</si>
  <si>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</si>
  <si>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</si>
  <si>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</si>
  <si>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</si>
  <si>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</si>
  <si>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</si>
  <si>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</si>
  <si>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</si>
  <si>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</si>
  <si>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</si>
  <si>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</si>
  <si>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</si>
  <si>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</si>
  <si>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</si>
  <si>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</si>
  <si>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</si>
  <si>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</si>
  <si>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</si>
  <si>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</si>
  <si>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</si>
  <si>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</si>
  <si>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</si>
  <si>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</si>
  <si>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</si>
  <si>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</si>
  <si>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</si>
  <si>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</si>
  <si>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</si>
  <si>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</si>
  <si>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</si>
  <si>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</si>
  <si>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</si>
  <si>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</si>
  <si>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</si>
  <si>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</si>
  <si>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</si>
  <si>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</si>
  <si>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</si>
  <si>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</si>
  <si>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</si>
  <si>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</si>
  <si>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</si>
  <si>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</si>
  <si>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</si>
  <si>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</si>
  <si>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</si>
  <si>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</si>
  <si>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</si>
  <si>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</si>
  <si>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</si>
  <si>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</si>
  <si>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</si>
  <si>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</si>
  <si>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</si>
  <si>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</si>
  <si>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</si>
  <si>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</si>
  <si>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</si>
  <si>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</si>
  <si>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</si>
  <si>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</si>
  <si>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</si>
  <si>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</si>
  <si>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</si>
  <si>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</si>
  <si>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</si>
  <si>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</si>
  <si>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</si>
  <si>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</si>
  <si>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</si>
  <si>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</si>
  <si>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</si>
  <si>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</si>
  <si>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</si>
  <si>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</si>
  <si>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</si>
  <si>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</si>
  <si>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</si>
  <si>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</si>
  <si>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</si>
  <si>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</si>
  <si>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</si>
  <si>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</si>
  <si>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</si>
  <si>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</si>
  <si>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</si>
  <si>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</si>
  <si>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</si>
  <si>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</si>
  <si>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</si>
  <si>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</si>
  <si>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</si>
  <si>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</si>
  <si>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</si>
  <si>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</si>
  <si>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</si>
  <si>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</si>
  <si>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</si>
  <si>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</si>
  <si>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</si>
  <si>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</si>
  <si>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</si>
  <si>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</si>
  <si>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</si>
  <si>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</si>
  <si>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</si>
  <si>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</si>
  <si>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</si>
  <si>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</si>
  <si>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</si>
  <si>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</si>
  <si>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</si>
  <si>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</si>
  <si>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</si>
  <si>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</si>
  <si>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</si>
  <si>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</si>
  <si>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</si>
  <si>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</si>
  <si>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</si>
  <si>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</si>
  <si>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</si>
  <si>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</si>
  <si>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</si>
  <si>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</si>
  <si>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</si>
  <si>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</si>
  <si>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</si>
  <si>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</si>
  <si>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</si>
  <si>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</si>
  <si>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</si>
  <si>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</si>
  <si>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</si>
  <si>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</si>
  <si>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</si>
  <si>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</si>
  <si>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</si>
  <si>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</si>
  <si>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</si>
  <si>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</si>
  <si>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</si>
  <si>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</si>
  <si>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</si>
  <si>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</si>
  <si>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</si>
  <si>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</si>
  <si>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</si>
  <si>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</si>
  <si>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</si>
  <si>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</si>
  <si>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</si>
  <si>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</si>
  <si>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</si>
  <si>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</si>
  <si>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</si>
  <si>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</si>
  <si>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</si>
  <si>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</si>
  <si>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</si>
  <si>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</si>
  <si>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</si>
  <si>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</si>
  <si>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</si>
  <si>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</si>
  <si>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</si>
  <si>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</si>
  <si>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</si>
  <si>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</si>
  <si>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</si>
  <si>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</si>
  <si>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</si>
  <si>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</si>
  <si>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</si>
  <si>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</si>
  <si>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</si>
  <si>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</si>
  <si>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</si>
  <si>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</si>
  <si>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</si>
  <si>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</si>
  <si>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</si>
  <si>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</si>
  <si>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</si>
  <si>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</si>
  <si>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</si>
  <si>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</si>
  <si>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</si>
  <si>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</si>
  <si>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</si>
  <si>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</si>
  <si>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</si>
  <si>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</si>
  <si>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</si>
  <si>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</si>
  <si>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</si>
  <si>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</si>
  <si>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</si>
  <si>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</si>
  <si>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</si>
  <si>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</si>
  <si>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</si>
  <si>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</si>
  <si>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</si>
  <si>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</si>
  <si>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</si>
  <si>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</si>
  <si>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</si>
  <si>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</si>
  <si>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</si>
  <si>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</si>
  <si>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</si>
  <si>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</si>
  <si>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</si>
  <si>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</si>
  <si>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</si>
  <si>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</si>
  <si>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</si>
  <si>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</si>
  <si>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</si>
  <si>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</si>
  <si>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</si>
  <si>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</si>
  <si>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</si>
  <si>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</si>
  <si>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</si>
  <si>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</si>
  <si>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</si>
  <si>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</si>
  <si>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</si>
  <si>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</si>
  <si>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</si>
  <si>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</si>
  <si>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</si>
  <si>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</si>
  <si>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</si>
  <si>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</si>
  <si>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</si>
  <si>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</si>
  <si>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</si>
  <si>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</si>
  <si>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</si>
  <si>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</si>
  <si>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</si>
  <si>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</si>
  <si>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</si>
  <si>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</si>
  <si>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</si>
  <si>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</si>
  <si>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</si>
  <si>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</si>
  <si>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</si>
  <si>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</si>
  <si>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</si>
  <si>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</si>
  <si>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</si>
  <si>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</si>
  <si>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</si>
  <si>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</si>
  <si>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</si>
  <si>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</si>
  <si>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</si>
  <si>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</si>
  <si>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</si>
  <si>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</si>
  <si>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</si>
  <si>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</si>
  <si>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</si>
  <si>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</si>
  <si>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</si>
  <si>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</si>
  <si>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</si>
  <si>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</si>
  <si>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</si>
  <si>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</si>
  <si>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</si>
  <si>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</si>
  <si>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</si>
  <si>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</si>
  <si>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</si>
  <si>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</si>
  <si>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</si>
  <si>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</si>
  <si>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</si>
  <si>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</si>
  <si>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</si>
  <si>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</si>
  <si>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</si>
  <si>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</si>
  <si>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</si>
  <si>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</si>
  <si>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</si>
  <si>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</si>
  <si>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</si>
  <si>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</si>
  <si>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</si>
  <si>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</si>
  <si>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</si>
  <si>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</si>
  <si>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</si>
  <si>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</si>
  <si>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</si>
  <si>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</si>
  <si>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</si>
  <si>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</si>
  <si>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</si>
  <si>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</si>
  <si>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</si>
  <si>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</si>
  <si>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</si>
  <si>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</si>
  <si>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</si>
  <si>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</si>
  <si>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</si>
  <si>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</si>
  <si>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</si>
  <si>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</si>
  <si>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</si>
  <si>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</si>
  <si>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</si>
  <si>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</si>
  <si>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</si>
  <si>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</si>
  <si>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</si>
  <si>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</si>
  <si>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</si>
  <si>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</si>
  <si>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</si>
  <si>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</si>
  <si>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</si>
  <si>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</si>
  <si>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</si>
  <si>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</si>
  <si>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</si>
  <si>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</si>
  <si>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</si>
  <si>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</si>
  <si>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</si>
  <si>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</si>
  <si>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</si>
  <si>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</si>
  <si>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</si>
  <si>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</si>
  <si>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</si>
  <si>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</si>
  <si>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</si>
  <si>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</si>
  <si>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</si>
  <si>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</si>
  <si>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</si>
  <si>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</si>
  <si>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</si>
  <si>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</si>
  <si>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</si>
  <si>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</si>
  <si>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</si>
  <si>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</si>
  <si>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</si>
  <si>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</si>
  <si>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</si>
  <si>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</si>
  <si>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</si>
  <si>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</si>
  <si>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</si>
  <si>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</si>
  <si>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</si>
  <si>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</si>
  <si>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</si>
  <si>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</si>
  <si>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</si>
  <si>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</si>
  <si>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</si>
  <si>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</si>
  <si>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</si>
  <si>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</si>
  <si>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</si>
  <si>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</si>
  <si>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</si>
  <si>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</si>
  <si>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</si>
  <si>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</si>
  <si>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</si>
  <si>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</si>
  <si>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</si>
  <si>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</si>
  <si>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</si>
  <si>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</si>
  <si>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</si>
  <si>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</si>
  <si>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</si>
  <si>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</si>
  <si>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</si>
  <si>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</si>
  <si>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</si>
  <si>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</si>
  <si>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</si>
  <si>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</si>
  <si>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</si>
  <si>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</si>
  <si>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</si>
  <si>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</si>
  <si>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</si>
  <si>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</si>
  <si>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</si>
  <si>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</si>
  <si>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</si>
  <si>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</si>
  <si>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</si>
  <si>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</si>
  <si>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</si>
  <si>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</si>
  <si>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</si>
  <si>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</si>
  <si>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</si>
  <si>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</si>
  <si>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</si>
  <si>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</si>
  <si>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</si>
  <si>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</si>
  <si>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</si>
  <si>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</si>
  <si>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</si>
  <si>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</si>
  <si>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</si>
  <si>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</si>
  <si>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</si>
  <si>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</si>
  <si>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</si>
  <si>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</si>
  <si>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</si>
  <si>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</si>
  <si>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</si>
  <si>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</si>
  <si>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</si>
  <si>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</si>
  <si>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</si>
  <si>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</si>
  <si>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</si>
  <si>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</si>
  <si>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</si>
  <si>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</si>
  <si>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</si>
  <si>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</si>
  <si>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</si>
  <si>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</si>
  <si>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</si>
  <si>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</si>
  <si>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</si>
  <si>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</si>
  <si>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</si>
  <si>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</si>
  <si>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</si>
  <si>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</si>
  <si>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</si>
  <si>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</si>
  <si>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</si>
  <si>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</si>
  <si>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</si>
  <si>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</si>
  <si>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</si>
  <si>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</si>
  <si>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</si>
  <si>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</si>
  <si>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</si>
  <si>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</si>
  <si>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</si>
  <si>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</si>
  <si>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</si>
  <si>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</si>
  <si>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</si>
  <si>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</si>
  <si>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</si>
  <si>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</si>
  <si>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</si>
  <si>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</si>
  <si>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</si>
  <si>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</si>
  <si>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</si>
  <si>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</si>
  <si>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</si>
  <si>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</si>
  <si>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</si>
  <si>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</si>
  <si>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</si>
  <si>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</si>
  <si>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</si>
  <si>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</si>
  <si>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</si>
  <si>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</si>
  <si>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</si>
  <si>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</si>
  <si>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</si>
  <si>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</si>
  <si>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</si>
  <si>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</si>
  <si>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</si>
  <si>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</si>
  <si>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</si>
  <si>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</si>
  <si>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</si>
  <si>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</si>
  <si>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</si>
  <si>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</si>
  <si>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</si>
  <si>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</si>
  <si>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</si>
  <si>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</si>
  <si>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</si>
  <si>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</si>
  <si>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</si>
  <si>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</si>
  <si>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</si>
  <si>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</si>
  <si>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</si>
  <si>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</si>
  <si>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</si>
  <si>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</si>
  <si>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</si>
  <si>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</si>
  <si>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</si>
  <si>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</si>
  <si>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</si>
  <si>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</si>
  <si>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</si>
  <si>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</si>
  <si>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</si>
  <si>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</si>
  <si>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</si>
  <si>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</si>
  <si>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</si>
  <si>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</si>
  <si>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</si>
  <si>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</si>
  <si>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</si>
  <si>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</si>
  <si>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</si>
  <si>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</si>
  <si>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</si>
  <si>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</si>
  <si>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</si>
  <si>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</si>
  <si>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</si>
  <si>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</si>
  <si>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</si>
  <si>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</si>
  <si>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</si>
  <si>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</si>
  <si>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</si>
  <si>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</si>
  <si>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</si>
  <si>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</si>
  <si>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</si>
  <si>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</si>
  <si>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</si>
  <si>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</si>
  <si>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</si>
  <si>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</si>
  <si>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</si>
  <si>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</si>
  <si>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</si>
  <si>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</si>
  <si>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</si>
  <si>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</si>
  <si>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</si>
  <si>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</si>
  <si>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</si>
  <si>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</si>
  <si>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</si>
  <si>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</si>
  <si>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</si>
  <si>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</si>
  <si>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</si>
  <si>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</si>
  <si>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</si>
  <si>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</si>
  <si>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</si>
  <si>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</si>
  <si>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</si>
  <si>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</si>
  <si>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</si>
  <si>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</si>
  <si>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</si>
  <si>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</si>
  <si>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</si>
  <si>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</si>
  <si>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</si>
  <si>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</si>
  <si>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</si>
  <si>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</si>
  <si>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</si>
  <si>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</si>
  <si>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</si>
  <si>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</si>
  <si>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</si>
  <si>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</si>
  <si>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</si>
  <si>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</si>
  <si>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</si>
  <si>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</si>
  <si>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</si>
  <si>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</si>
  <si>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</si>
  <si>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</si>
  <si>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</si>
  <si>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</si>
  <si>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</si>
  <si>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</si>
  <si>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</si>
  <si>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</si>
  <si>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</si>
  <si>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</si>
  <si>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</si>
  <si>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</si>
  <si>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</si>
  <si>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</si>
  <si>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</si>
  <si>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</si>
  <si>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</si>
  <si>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</si>
  <si>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</si>
  <si>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</si>
  <si>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</si>
  <si>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</si>
  <si>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</si>
  <si>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</si>
  <si>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</si>
  <si>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</si>
  <si>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</si>
  <si>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</si>
  <si>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</si>
  <si>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</si>
  <si>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</si>
  <si>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</si>
  <si>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</si>
  <si>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</si>
  <si>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</si>
  <si>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</si>
  <si>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</si>
  <si>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</si>
  <si>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</si>
  <si>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</si>
  <si>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</si>
  <si>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</si>
  <si>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</si>
  <si>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</si>
  <si>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</si>
  <si>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</si>
  <si>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</si>
  <si>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</si>
  <si>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</si>
  <si>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</si>
  <si>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</si>
  <si>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</si>
  <si>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</si>
  <si>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</si>
  <si>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</si>
  <si>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</si>
  <si>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</si>
  <si>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</si>
  <si>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</si>
  <si>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</si>
  <si>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</si>
  <si>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</si>
  <si>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</si>
  <si>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</si>
  <si>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</si>
  <si>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</si>
  <si>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</si>
  <si>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</si>
  <si>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</si>
  <si>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</si>
  <si>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</si>
  <si>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</si>
  <si>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</si>
  <si>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</si>
  <si>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</si>
  <si>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</si>
  <si>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</si>
  <si>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</si>
  <si>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</si>
  <si>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</si>
  <si>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</si>
  <si>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</si>
  <si>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</si>
  <si>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</si>
  <si>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</si>
  <si>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</si>
  <si>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</si>
  <si>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</si>
  <si>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</si>
  <si>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</si>
  <si>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</si>
  <si>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</si>
  <si>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</si>
  <si>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</si>
  <si>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</si>
  <si>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</si>
  <si>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</si>
  <si>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</si>
  <si>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</si>
  <si>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</si>
  <si>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</si>
  <si>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</si>
  <si>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</si>
  <si>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</si>
  <si>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</si>
  <si>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</si>
  <si>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</si>
  <si>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</si>
  <si>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</si>
  <si>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</si>
  <si>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</si>
  <si>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</si>
  <si>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</si>
  <si>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</si>
  <si>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</si>
  <si>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</si>
  <si>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</si>
  <si>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</si>
  <si>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</si>
  <si>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</si>
  <si>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</si>
  <si>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</si>
  <si>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</si>
  <si>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</si>
  <si>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</si>
  <si>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</si>
  <si>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</si>
  <si>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</si>
  <si>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</si>
  <si>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</si>
  <si>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</si>
  <si>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</si>
  <si>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</si>
  <si>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</si>
  <si>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</si>
  <si>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</si>
  <si>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</si>
  <si>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</si>
  <si>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</si>
  <si>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</si>
  <si>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</si>
  <si>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</si>
  <si>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</si>
  <si>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</si>
  <si>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</si>
  <si>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</si>
  <si>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</si>
  <si>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</si>
  <si>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</si>
  <si>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</si>
  <si>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</si>
  <si>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</si>
  <si>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</si>
  <si>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</si>
  <si>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</si>
  <si>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</si>
  <si>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</si>
  <si>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</si>
  <si>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</si>
  <si>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</si>
  <si>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</si>
  <si>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</si>
  <si>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</si>
  <si>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</si>
  <si>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</si>
  <si>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</si>
  <si>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</si>
  <si>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</si>
  <si>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</si>
  <si>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</si>
  <si>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</si>
  <si>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</si>
  <si>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</si>
  <si>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</si>
  <si>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</si>
  <si>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</si>
  <si>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</si>
  <si>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</si>
  <si>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</si>
  <si>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</si>
  <si>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</si>
  <si>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</si>
  <si>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</si>
  <si>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</si>
  <si>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</si>
  <si>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</si>
  <si>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</si>
  <si>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</si>
  <si>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</si>
  <si>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</si>
  <si>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</si>
  <si>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</si>
  <si>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</si>
  <si>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</si>
  <si>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</si>
  <si>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</si>
  <si>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</si>
  <si>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</si>
  <si>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</si>
  <si>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</si>
  <si>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</si>
  <si>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</si>
  <si>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</si>
  <si>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</si>
  <si>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</si>
  <si>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</si>
  <si>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</si>
  <si>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</si>
  <si>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</si>
  <si>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</si>
  <si>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</si>
  <si>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</si>
  <si>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</si>
  <si>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</si>
  <si>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</si>
  <si>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</si>
  <si>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</si>
  <si>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</si>
  <si>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</si>
  <si>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</si>
  <si>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</si>
  <si>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</si>
  <si>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</si>
  <si>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</si>
  <si>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</si>
  <si>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</si>
  <si>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</si>
  <si>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</si>
  <si>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</si>
  <si>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</si>
  <si>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</si>
  <si>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</si>
  <si>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</si>
  <si>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</si>
  <si>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</si>
  <si>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</si>
  <si>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</si>
  <si>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</si>
  <si>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</si>
  <si>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</si>
  <si>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</si>
  <si>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</si>
  <si>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</si>
  <si>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</si>
  <si>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</si>
  <si>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</si>
  <si>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</si>
  <si>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</si>
  <si>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</si>
  <si>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</si>
  <si>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</si>
  <si>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</si>
  <si>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</si>
  <si>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</si>
  <si>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</si>
  <si>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</si>
  <si>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</si>
  <si>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</si>
  <si>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</si>
  <si>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</si>
  <si>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</si>
  <si>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</si>
  <si>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</si>
  <si>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</si>
  <si>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</si>
  <si>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</si>
  <si>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</si>
  <si>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</si>
  <si>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</si>
  <si>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</si>
  <si>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</si>
  <si>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</si>
  <si>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</si>
  <si>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</si>
  <si>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</si>
  <si>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</si>
  <si>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</si>
  <si>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</si>
  <si>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</si>
  <si>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</si>
  <si>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</si>
  <si>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</si>
  <si>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</si>
  <si>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</si>
  <si>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</si>
  <si>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</si>
  <si>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</si>
  <si>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</si>
  <si>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</si>
  <si>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</si>
  <si>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</si>
  <si>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</si>
  <si>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</si>
  <si>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</si>
  <si>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</si>
  <si>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</si>
  <si>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</si>
  <si>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</si>
  <si>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</si>
  <si>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</si>
  <si>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</si>
  <si>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</si>
  <si>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</si>
  <si>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</si>
  <si>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</si>
  <si>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</si>
  <si>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</si>
  <si>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</si>
  <si>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</si>
  <si>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</si>
  <si>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</si>
  <si>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</si>
  <si>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</si>
  <si>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</si>
  <si>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</si>
  <si>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</si>
  <si>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</si>
  <si>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</si>
  <si>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</si>
  <si>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</si>
  <si>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</si>
  <si>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</si>
  <si>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</si>
  <si>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</si>
  <si>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</si>
  <si>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</si>
  <si>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</si>
  <si>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</si>
  <si>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</si>
  <si>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</si>
  <si>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</si>
  <si>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</si>
  <si>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</si>
  <si>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</si>
  <si>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</si>
  <si>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</si>
  <si>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</si>
  <si>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</si>
  <si>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</si>
  <si>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</si>
  <si>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</si>
  <si>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</si>
  <si>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</si>
  <si>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</si>
  <si>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</si>
  <si>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</si>
  <si>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</si>
  <si>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</si>
  <si>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</si>
  <si>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</si>
  <si>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</si>
  <si>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</si>
  <si>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</si>
  <si>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</si>
  <si>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</si>
  <si>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</si>
  <si>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</si>
  <si>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</si>
  <si>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</si>
  <si>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</si>
  <si>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</si>
  <si>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</si>
  <si>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</si>
  <si>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</si>
  <si>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</si>
  <si>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</si>
  <si>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</si>
  <si>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</si>
  <si>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</si>
  <si>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</si>
  <si>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</si>
  <si>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</si>
  <si>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</si>
  <si>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</si>
  <si>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</si>
  <si>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</si>
  <si>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</si>
  <si>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</si>
  <si>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</si>
  <si>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</si>
  <si>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</si>
  <si>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</si>
  <si>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</si>
  <si>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</si>
  <si>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</si>
  <si>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</si>
  <si>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</si>
  <si>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</si>
  <si>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</si>
  <si>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</si>
  <si>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</si>
  <si>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</si>
  <si>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</si>
  <si>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</si>
  <si>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</si>
  <si>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</si>
  <si>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</si>
  <si>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</si>
  <si>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</si>
  <si>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</si>
  <si>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</si>
  <si>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</si>
  <si>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</si>
  <si>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</si>
  <si>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</si>
  <si>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</si>
  <si>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</si>
  <si>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</si>
  <si>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</si>
  <si>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</si>
  <si>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</si>
  <si>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</si>
  <si>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</si>
  <si>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</si>
  <si>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</si>
  <si>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</si>
  <si>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</si>
  <si>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</si>
  <si>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</si>
  <si>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</si>
  <si>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</si>
  <si>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</si>
  <si>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</si>
  <si>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</si>
  <si>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</si>
  <si>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</si>
  <si>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</si>
  <si>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</si>
  <si>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</si>
  <si>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</si>
  <si>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</si>
  <si>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</si>
  <si>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</si>
  <si>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</si>
  <si>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</si>
  <si>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</si>
  <si>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</si>
  <si>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</si>
  <si>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</si>
  <si>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</si>
  <si>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</si>
  <si>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</si>
  <si>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</si>
  <si>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</si>
  <si>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</si>
  <si>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</si>
  <si>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</si>
  <si>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</si>
  <si>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</si>
  <si>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</si>
  <si>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</si>
  <si>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</si>
  <si>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</si>
  <si>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</si>
  <si>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</si>
  <si>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</si>
  <si>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</si>
  <si>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</si>
  <si>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</si>
  <si>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</si>
  <si>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</si>
  <si>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</si>
  <si>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</si>
  <si>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</si>
  <si>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</si>
  <si>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</si>
  <si>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</si>
  <si>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</si>
  <si>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</si>
  <si>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</si>
  <si>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</si>
  <si>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</si>
  <si>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</si>
  <si>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</si>
  <si>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</si>
  <si>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</si>
  <si>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</si>
  <si>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</si>
  <si>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</si>
  <si>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</si>
  <si>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</si>
  <si>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</si>
  <si>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</si>
  <si>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</si>
  <si>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</si>
  <si>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</si>
  <si>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</si>
  <si>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</si>
  <si>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</si>
  <si>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</si>
  <si>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</si>
  <si>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</si>
  <si>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</si>
  <si>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</si>
  <si>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</si>
  <si>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</si>
  <si>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</si>
  <si>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</si>
  <si>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</si>
  <si>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</si>
  <si>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</si>
  <si>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</si>
  <si>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</si>
  <si>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</si>
  <si>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</si>
  <si>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</si>
  <si>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</si>
  <si>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</si>
  <si>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</si>
  <si>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</si>
  <si>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</si>
  <si>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</si>
  <si>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</si>
  <si>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</si>
  <si>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</si>
  <si>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</si>
  <si>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</si>
  <si>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</si>
  <si>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</si>
  <si>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</si>
  <si>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</si>
  <si>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</si>
  <si>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</si>
  <si>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</si>
  <si>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</si>
  <si>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</si>
  <si>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</si>
  <si>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</si>
  <si>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</si>
  <si>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</si>
  <si>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</si>
  <si>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</si>
  <si>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</si>
  <si>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</si>
  <si>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</si>
  <si>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</si>
  <si>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</si>
  <si>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</si>
  <si>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</si>
  <si>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</si>
  <si>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</si>
  <si>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</si>
  <si>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</si>
  <si>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</si>
  <si>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</si>
  <si>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</si>
  <si>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</si>
  <si>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</si>
  <si>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</si>
  <si>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</si>
  <si>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</si>
  <si>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</si>
  <si>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</si>
  <si>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</si>
  <si>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</si>
  <si>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</si>
  <si>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</si>
  <si>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</si>
  <si>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</si>
  <si>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</si>
  <si>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</si>
  <si>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</si>
  <si>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</si>
  <si>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</si>
  <si>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</si>
  <si>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</si>
  <si>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</si>
  <si>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</si>
  <si>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</si>
  <si>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</si>
  <si>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</si>
  <si>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</si>
  <si>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</si>
  <si>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</si>
  <si>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</si>
  <si>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</si>
  <si>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</si>
  <si>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</si>
  <si>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</si>
  <si>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</si>
  <si>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</si>
  <si>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</si>
  <si>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</si>
  <si>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</si>
  <si>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</si>
  <si>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</si>
  <si>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</si>
  <si>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</si>
  <si>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</si>
  <si>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</si>
  <si>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</si>
  <si>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</si>
  <si>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</si>
  <si>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</si>
  <si>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</si>
  <si>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</si>
  <si>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</si>
  <si>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</si>
  <si>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</si>
  <si>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</si>
  <si>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</si>
  <si>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</si>
  <si>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</si>
  <si>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</si>
  <si>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</si>
  <si>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</si>
  <si>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</si>
  <si>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</si>
  <si>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</si>
  <si>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</si>
  <si>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</si>
  <si>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</si>
  <si>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</si>
  <si>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</si>
  <si>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</si>
  <si>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</si>
  <si>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</si>
  <si>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</si>
  <si>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</si>
  <si>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</si>
  <si>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</si>
  <si>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</si>
  <si>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</si>
  <si>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</si>
  <si>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</si>
  <si>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</si>
  <si>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</si>
  <si>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</si>
  <si>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</si>
  <si>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</si>
  <si>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</si>
  <si>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</si>
  <si>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</si>
  <si>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</si>
  <si>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</si>
  <si>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</si>
  <si>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</si>
  <si>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</si>
  <si>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</si>
  <si>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</si>
  <si>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</si>
  <si>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</si>
  <si>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</si>
  <si>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</si>
  <si>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</si>
  <si>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</si>
  <si>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</si>
  <si>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</si>
  <si>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</si>
  <si>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</si>
  <si>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</si>
  <si>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</si>
  <si>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</si>
  <si>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</si>
  <si>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</si>
  <si>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</si>
  <si>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</si>
  <si>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</si>
  <si>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</si>
  <si>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</si>
  <si>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</si>
  <si>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</si>
  <si>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</si>
  <si>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</si>
  <si>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</si>
  <si>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</si>
  <si>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</si>
  <si>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</si>
  <si>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</si>
  <si>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</si>
  <si>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</si>
  <si>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</si>
  <si>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</si>
  <si>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</si>
  <si>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</si>
  <si>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</si>
  <si>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</si>
  <si>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</si>
  <si>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</si>
  <si>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</si>
  <si>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</si>
  <si>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</si>
  <si>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</si>
  <si>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</si>
  <si>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</si>
  <si>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</si>
  <si>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</si>
  <si>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</si>
  <si>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</si>
  <si>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</si>
  <si>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</si>
  <si>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</si>
  <si>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</si>
  <si>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</si>
  <si>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</si>
  <si>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</si>
  <si>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</si>
  <si>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</si>
  <si>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</si>
  <si>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</si>
  <si>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</si>
  <si>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</si>
  <si>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</si>
  <si>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</si>
  <si>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</si>
  <si>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</si>
  <si>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</si>
  <si>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</si>
  <si>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</si>
  <si>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</si>
  <si>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</si>
  <si>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</si>
  <si>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</si>
  <si>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</si>
  <si>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</si>
  <si>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</si>
  <si>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</si>
  <si>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</si>
  <si>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</si>
  <si>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</si>
  <si>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</si>
  <si>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</si>
  <si>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</si>
  <si>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</si>
  <si>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</si>
  <si>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</si>
  <si>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</si>
  <si>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</si>
  <si>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</si>
  <si>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</si>
  <si>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</si>
  <si>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</si>
  <si>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</si>
  <si>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</si>
  <si>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</si>
  <si>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</si>
  <si>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</si>
  <si>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</si>
  <si>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</si>
  <si>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</si>
  <si>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</si>
  <si>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</si>
  <si>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</si>
  <si>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</si>
  <si>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</si>
  <si>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</si>
  <si>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</si>
  <si>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</si>
  <si>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</si>
  <si>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</si>
  <si>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</si>
  <si>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</si>
  <si>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</si>
  <si>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</si>
  <si>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</si>
  <si>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</si>
  <si>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</si>
  <si>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</si>
  <si>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</si>
  <si>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</si>
  <si>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</si>
  <si>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</si>
  <si>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</si>
  <si>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</si>
  <si>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</si>
  <si>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</si>
  <si>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</si>
  <si>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</si>
  <si>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</si>
  <si>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</si>
  <si>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</si>
  <si>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</si>
  <si>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</si>
  <si>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</si>
  <si>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</si>
  <si>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</si>
  <si>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</si>
  <si>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</si>
  <si>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</si>
  <si>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</si>
  <si>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</si>
  <si>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</si>
  <si>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</si>
  <si>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</si>
  <si>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</si>
  <si>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</si>
  <si>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</si>
  <si>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</si>
  <si>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</si>
  <si>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</si>
  <si>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</si>
  <si>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</si>
  <si>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</si>
  <si>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</si>
  <si>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</si>
  <si>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</si>
  <si>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</si>
  <si>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</si>
  <si>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</si>
  <si>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</si>
  <si>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</si>
  <si>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</si>
  <si>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</si>
  <si>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</si>
  <si>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</si>
  <si>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</si>
  <si>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</si>
  <si>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</si>
  <si>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</si>
  <si>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</si>
  <si>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</si>
  <si>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</si>
  <si>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</si>
  <si>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</si>
  <si>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</si>
  <si>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</si>
  <si>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</si>
  <si>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</si>
  <si>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</si>
  <si>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</si>
  <si>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</si>
  <si>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</si>
  <si>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</si>
  <si>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</si>
  <si>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</si>
  <si>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</si>
  <si>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</si>
  <si>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</si>
  <si>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</si>
  <si>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</si>
  <si>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</si>
  <si>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</si>
  <si>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</si>
  <si>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</si>
  <si>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</si>
  <si>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</si>
  <si>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</si>
  <si>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</si>
  <si>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</si>
  <si>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</si>
  <si>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</si>
  <si>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</si>
  <si>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</si>
  <si>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</si>
  <si>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</si>
  <si>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</si>
  <si>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</si>
  <si>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</si>
  <si>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</si>
  <si>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</si>
  <si>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</si>
  <si>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</si>
  <si>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</si>
  <si>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</si>
  <si>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</si>
  <si>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</si>
  <si>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</si>
  <si>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</si>
  <si>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</si>
  <si>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</si>
  <si>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</si>
  <si>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</si>
  <si>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</si>
  <si>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</si>
  <si>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</si>
  <si>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</si>
  <si>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</si>
  <si>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</si>
  <si>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</si>
  <si>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</si>
  <si>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</si>
  <si>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</si>
  <si>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</si>
  <si>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</si>
  <si>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</si>
  <si>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</si>
  <si>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</si>
  <si>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</si>
  <si>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</si>
  <si>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</si>
  <si>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</si>
  <si>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</si>
  <si>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</si>
  <si>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</si>
  <si>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</si>
  <si>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</si>
  <si>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</si>
  <si>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</si>
  <si>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</si>
  <si>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</si>
  <si>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</si>
  <si>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</si>
  <si>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</si>
  <si>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</si>
  <si>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</si>
  <si>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</si>
  <si>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</si>
  <si>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</si>
  <si>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</si>
  <si>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</si>
  <si>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</si>
  <si>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</si>
  <si>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</si>
  <si>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</si>
  <si>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</si>
  <si>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</si>
  <si>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</si>
  <si>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</si>
  <si>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</si>
  <si>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</si>
  <si>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</si>
  <si>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</si>
  <si>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</si>
  <si>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</si>
  <si>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</si>
  <si>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</si>
  <si>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</si>
  <si>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</si>
  <si>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</si>
  <si>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</si>
  <si>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</si>
  <si>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</si>
  <si>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</si>
  <si>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</si>
  <si>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</si>
  <si>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</si>
  <si>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</si>
  <si>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</si>
  <si>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</si>
  <si>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</si>
  <si>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</si>
  <si>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</si>
  <si>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</si>
  <si>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</si>
  <si>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</si>
  <si>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</si>
  <si>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</si>
  <si>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</si>
  <si>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</si>
  <si>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</si>
  <si>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</si>
  <si>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</si>
  <si>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</si>
  <si>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</si>
  <si>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</si>
  <si>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</si>
  <si>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</si>
  <si>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</si>
  <si>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</si>
  <si>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</si>
  <si>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</si>
  <si>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</si>
  <si>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</si>
  <si>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</si>
  <si>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</si>
  <si>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</si>
  <si>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</si>
  <si>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</si>
  <si>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</si>
  <si>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</si>
  <si>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</si>
  <si>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</si>
  <si>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</si>
  <si>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</si>
  <si>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</si>
  <si>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</si>
  <si>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</si>
  <si>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</si>
  <si>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</si>
  <si>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</si>
  <si>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</si>
  <si>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</si>
  <si>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</si>
  <si>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</si>
  <si>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</si>
  <si>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</si>
  <si>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</si>
  <si>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</si>
  <si>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</si>
  <si>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</si>
  <si>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</si>
  <si>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</si>
  <si>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</si>
  <si>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</si>
  <si>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</si>
  <si>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</si>
  <si>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</si>
  <si>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</si>
  <si>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</si>
  <si>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</si>
  <si>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</si>
  <si>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</si>
  <si>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</si>
  <si>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</si>
  <si>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</si>
  <si>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</si>
  <si>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</si>
  <si>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</si>
  <si>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</si>
  <si>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</si>
  <si>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</si>
  <si>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</si>
  <si>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</si>
  <si>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</si>
  <si>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</si>
  <si>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</si>
  <si>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</si>
  <si>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</si>
  <si>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</si>
  <si>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</si>
  <si>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</si>
  <si>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</si>
  <si>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</si>
  <si>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</si>
  <si>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</si>
  <si>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</si>
  <si>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</si>
  <si>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</si>
  <si>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</si>
  <si>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</si>
  <si>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</si>
  <si>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</si>
  <si>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</si>
  <si>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</si>
  <si>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</si>
  <si>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</si>
  <si>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</si>
  <si>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</si>
  <si>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</si>
  <si>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</si>
  <si>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</si>
  <si>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</si>
  <si>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</si>
  <si>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</si>
  <si>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</si>
  <si>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</si>
  <si>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</si>
  <si>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</si>
  <si>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</si>
  <si>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</si>
  <si>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</si>
  <si>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</si>
  <si>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</si>
  <si>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</si>
  <si>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</si>
  <si>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</si>
  <si>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</si>
  <si>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</si>
  <si>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</si>
  <si>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</si>
  <si>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</si>
  <si>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</si>
  <si>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</si>
  <si>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</si>
  <si>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</si>
  <si>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</si>
  <si>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</si>
  <si>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</si>
  <si>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</si>
  <si>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</si>
  <si>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</si>
  <si>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</si>
  <si>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</si>
  <si>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</si>
  <si>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</si>
  <si>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</si>
  <si>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</si>
  <si>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</si>
  <si>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</si>
  <si>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</si>
  <si>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</si>
  <si>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</si>
  <si>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</si>
  <si>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</si>
  <si>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</si>
  <si>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</si>
  <si>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</si>
  <si>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</si>
  <si>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</si>
  <si>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</si>
  <si>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</si>
  <si>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</si>
  <si>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</si>
  <si>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</si>
  <si>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</si>
  <si>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</si>
  <si>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</si>
  <si>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</si>
  <si>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</si>
  <si>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</si>
  <si>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</si>
  <si>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</si>
  <si>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</si>
  <si>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</si>
  <si>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</si>
  <si>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</si>
  <si>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</si>
  <si>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</si>
  <si>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</si>
  <si>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</si>
  <si>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</si>
  <si>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</si>
  <si>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</si>
  <si>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</si>
  <si>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</si>
  <si>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</si>
  <si>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</si>
  <si>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</si>
  <si>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</si>
  <si>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</si>
  <si>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</si>
  <si>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</si>
  <si>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</si>
  <si>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</si>
  <si>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</si>
  <si>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</si>
  <si>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</si>
  <si>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</si>
  <si>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</si>
  <si>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</si>
  <si>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</si>
  <si>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</si>
  <si>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</si>
  <si>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</si>
  <si>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</si>
  <si>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</si>
  <si>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</si>
  <si>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</si>
  <si>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</si>
  <si>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</si>
  <si>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</si>
  <si>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</si>
  <si>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</si>
  <si>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</si>
  <si>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</si>
  <si>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</si>
  <si>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</si>
  <si>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</si>
  <si>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</si>
  <si>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</si>
  <si>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</si>
  <si>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</si>
  <si>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</si>
  <si>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</si>
  <si>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</si>
  <si>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</si>
  <si>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</si>
  <si>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</si>
  <si>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</si>
  <si>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</si>
  <si>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</si>
  <si>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</si>
  <si>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</si>
  <si>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</si>
  <si>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</si>
  <si>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</si>
  <si>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</si>
  <si>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</si>
  <si>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</si>
  <si>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</si>
  <si>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</si>
  <si>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</si>
  <si>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</si>
  <si>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</si>
  <si>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</si>
  <si>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</si>
  <si>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</si>
  <si>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</si>
  <si>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</si>
  <si>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</si>
  <si>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</si>
  <si>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</si>
  <si>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</si>
  <si>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</si>
  <si>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</si>
  <si>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</si>
  <si>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</si>
  <si>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</si>
  <si>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</si>
  <si>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</si>
  <si>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</si>
  <si>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</si>
  <si>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</si>
  <si>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</si>
  <si>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</si>
  <si>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</si>
  <si>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</si>
  <si>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</si>
  <si>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</si>
  <si>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</si>
  <si>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</si>
  <si>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</si>
  <si>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</si>
  <si>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</si>
  <si>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</si>
  <si>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</si>
  <si>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</si>
  <si>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</si>
  <si>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</si>
  <si>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</si>
  <si>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</si>
  <si>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</si>
  <si>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</si>
  <si>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</si>
  <si>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</si>
  <si>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</si>
  <si>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</si>
  <si>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</si>
  <si>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</si>
  <si>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</si>
  <si>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</si>
  <si>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</si>
  <si>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</si>
  <si>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</si>
  <si>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</si>
  <si>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</si>
  <si>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</si>
  <si>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</si>
  <si>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</si>
  <si>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</si>
  <si>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</si>
  <si>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</si>
  <si>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</si>
  <si>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</si>
  <si>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</si>
  <si>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</si>
  <si>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</si>
  <si>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</si>
  <si>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</si>
  <si>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</si>
  <si>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</si>
  <si>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</si>
  <si>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</si>
  <si>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</si>
  <si>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</si>
  <si>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</si>
  <si>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</si>
  <si>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</si>
  <si>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</si>
  <si>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</si>
  <si>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</si>
  <si>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</si>
  <si>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</si>
  <si>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</si>
  <si>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</si>
  <si>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</si>
  <si>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</si>
  <si>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</si>
  <si>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</si>
  <si>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</si>
  <si>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</si>
  <si>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</si>
  <si>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</si>
  <si>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</si>
  <si>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</si>
  <si>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</si>
  <si>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</si>
  <si>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</si>
  <si>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</si>
  <si>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</si>
  <si>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</si>
  <si>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</si>
  <si>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</si>
  <si>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</si>
  <si>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</si>
  <si>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</si>
  <si>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</si>
  <si>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</si>
  <si>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</si>
  <si>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</si>
  <si>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</si>
  <si>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</si>
  <si>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</si>
  <si>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</si>
  <si>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</si>
  <si>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</si>
  <si>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</si>
  <si>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</si>
  <si>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</si>
  <si>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</si>
  <si>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</si>
  <si>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</si>
  <si>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</si>
  <si>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</si>
  <si>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</si>
  <si>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</si>
  <si>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</si>
  <si>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</si>
  <si>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</si>
  <si>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</si>
  <si>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</si>
  <si>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</si>
  <si>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</si>
  <si>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</si>
  <si>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</si>
  <si>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</si>
  <si>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</si>
  <si>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</si>
  <si>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</si>
  <si>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</si>
  <si>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</si>
  <si>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</si>
  <si>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</si>
  <si>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</si>
  <si>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</si>
  <si>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</si>
  <si>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</si>
  <si>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</si>
  <si>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</si>
  <si>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</si>
  <si>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</si>
  <si>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</si>
  <si>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</si>
  <si>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</si>
  <si>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</si>
  <si>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</si>
  <si>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</si>
  <si>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</si>
  <si>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</si>
  <si>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</si>
  <si>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</si>
  <si>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</si>
  <si>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</si>
  <si>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</si>
  <si>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</si>
  <si>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</si>
  <si>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</si>
  <si>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</si>
  <si>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</si>
  <si>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</si>
  <si>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</si>
  <si>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</si>
  <si>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</si>
  <si>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</si>
  <si>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</si>
  <si>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</si>
  <si>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</si>
  <si>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</si>
  <si>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</si>
  <si>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</si>
  <si>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</si>
  <si>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</si>
  <si>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</si>
  <si>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</si>
  <si>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</si>
  <si>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</si>
  <si>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</si>
  <si>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</si>
  <si>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</si>
  <si>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</si>
  <si>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</si>
  <si>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</si>
  <si>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</si>
  <si>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</si>
  <si>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</si>
  <si>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</si>
  <si>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</si>
  <si>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</si>
  <si>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</si>
  <si>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</si>
  <si>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</si>
  <si>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</si>
  <si>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</si>
  <si>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</si>
  <si>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</si>
  <si>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</si>
  <si>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</si>
  <si>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</si>
  <si>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</si>
  <si>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</si>
  <si>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</si>
  <si>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</si>
  <si>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</si>
  <si>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</si>
  <si>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</si>
  <si>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</si>
  <si>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</si>
  <si>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</si>
  <si>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</si>
  <si>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</si>
  <si>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</si>
  <si>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</si>
  <si>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</si>
  <si>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</si>
  <si>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</si>
  <si>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</si>
  <si>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</si>
  <si>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</si>
  <si>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</si>
  <si>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</si>
  <si>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</si>
  <si>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</si>
  <si>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</si>
  <si>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</si>
  <si>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</si>
  <si>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</si>
  <si>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</si>
  <si>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</si>
  <si>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</si>
  <si>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</si>
  <si>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</si>
  <si>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</si>
  <si>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</si>
  <si>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</si>
  <si>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</si>
  <si>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</si>
  <si>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</si>
  <si>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</si>
  <si>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</si>
  <si>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</si>
  <si>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</si>
  <si>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</si>
  <si>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</si>
  <si>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</si>
  <si>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</si>
  <si>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</si>
  <si>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</si>
  <si>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</si>
  <si>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</si>
  <si>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</si>
  <si>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</si>
  <si>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</si>
  <si>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</si>
  <si>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</si>
  <si>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</si>
  <si>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</si>
  <si>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</si>
  <si>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</si>
  <si>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</si>
  <si>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</si>
  <si>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</si>
  <si>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</si>
  <si>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</si>
  <si>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</si>
  <si>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</si>
  <si>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</si>
  <si>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</si>
  <si>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</si>
  <si>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</si>
  <si>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</si>
  <si>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</si>
  <si>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</si>
  <si>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</si>
  <si>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</si>
  <si>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</si>
  <si>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</si>
  <si>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</si>
  <si>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</si>
  <si>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</si>
  <si>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</si>
  <si>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</si>
  <si>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</si>
  <si>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</si>
  <si>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</si>
  <si>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</si>
  <si>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</si>
  <si>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</si>
  <si>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</si>
  <si>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</si>
  <si>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</si>
  <si>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</si>
  <si>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</si>
  <si>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</si>
  <si>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</si>
  <si>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</si>
  <si>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</si>
  <si>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</si>
  <si>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</si>
  <si>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</si>
  <si>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</si>
  <si>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</si>
  <si>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</si>
  <si>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</si>
  <si>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</si>
  <si>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</si>
  <si>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</si>
  <si>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</si>
  <si>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</si>
  <si>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</si>
  <si>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</si>
  <si>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</si>
  <si>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</si>
  <si>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</si>
  <si>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</si>
  <si>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</si>
  <si>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</si>
  <si>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</si>
  <si>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</si>
  <si>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</si>
  <si>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</si>
  <si>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</si>
  <si>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</si>
  <si>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</si>
  <si>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</si>
  <si>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</si>
  <si>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</si>
  <si>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</si>
  <si>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</si>
  <si>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</si>
  <si>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</si>
  <si>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</si>
  <si>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</si>
  <si>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</si>
  <si>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</si>
  <si>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</si>
  <si>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</si>
  <si>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</si>
  <si>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</si>
  <si>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</si>
  <si>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</si>
  <si>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</si>
  <si>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</si>
  <si>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</si>
  <si>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</si>
  <si>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</si>
  <si>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</si>
  <si>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</si>
  <si>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</si>
  <si>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</si>
  <si>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</si>
  <si>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</si>
  <si>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</si>
  <si>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</si>
  <si>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</si>
  <si>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</si>
  <si>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</si>
  <si>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</si>
  <si>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</si>
  <si>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</si>
  <si>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</si>
  <si>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</si>
  <si>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</si>
  <si>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</si>
  <si>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</si>
  <si>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</si>
  <si>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</si>
  <si>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</si>
  <si>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</si>
  <si>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</si>
  <si>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</si>
  <si>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</si>
  <si>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</si>
  <si>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</si>
  <si>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</si>
  <si>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</si>
  <si>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</si>
  <si>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</si>
  <si>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</si>
  <si>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</si>
  <si>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</si>
  <si>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</si>
  <si>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</si>
  <si>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</si>
  <si>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</si>
  <si>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</si>
  <si>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</si>
  <si>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</si>
  <si>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</si>
  <si>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</si>
  <si>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</si>
  <si>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</si>
  <si>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</si>
  <si>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</si>
  <si>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</si>
  <si>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</si>
  <si>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</si>
  <si>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</si>
  <si>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</si>
  <si>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</si>
  <si>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</si>
  <si>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</si>
  <si>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</si>
  <si>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</si>
  <si>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</si>
  <si>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</si>
  <si>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</si>
  <si>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</si>
  <si>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</si>
  <si>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</si>
  <si>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</si>
  <si>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</si>
  <si>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</si>
  <si>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</si>
  <si>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</si>
  <si>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</si>
  <si>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</si>
  <si>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</si>
  <si>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</si>
  <si>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</si>
  <si>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</si>
  <si>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</si>
  <si>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</si>
  <si>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</si>
  <si>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</si>
  <si>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</si>
  <si>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</si>
  <si>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</si>
  <si>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</si>
  <si>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</si>
  <si>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</si>
  <si>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</si>
  <si>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</si>
  <si>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</si>
  <si>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</si>
  <si>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</si>
  <si>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</si>
  <si>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</si>
  <si>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</si>
  <si>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</si>
  <si>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</si>
  <si>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</si>
  <si>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</si>
  <si>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</si>
  <si>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</si>
  <si>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</si>
  <si>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</si>
  <si>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</si>
  <si>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</si>
  <si>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</si>
  <si>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</si>
  <si>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</si>
  <si>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</si>
  <si>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</si>
  <si>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</si>
  <si>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</si>
  <si>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</si>
  <si>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</si>
  <si>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</si>
  <si>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</si>
  <si>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</si>
  <si>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</si>
  <si>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</si>
  <si>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</si>
  <si>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</si>
  <si>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</si>
  <si>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</si>
  <si>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</si>
  <si>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</si>
  <si>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</si>
  <si>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</si>
  <si>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</si>
  <si>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</si>
  <si>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</si>
  <si>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</si>
  <si>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</si>
  <si>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</si>
  <si>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</si>
  <si>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</si>
  <si>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</si>
  <si>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</si>
  <si>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</si>
  <si>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</si>
  <si>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</si>
  <si>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</si>
  <si>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</si>
  <si>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</si>
  <si>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</si>
  <si>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</si>
  <si>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</si>
  <si>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</si>
  <si>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</si>
  <si>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</si>
  <si>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</si>
  <si>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</si>
  <si>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</si>
  <si>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</si>
  <si>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</si>
  <si>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</si>
  <si>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</si>
  <si>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</si>
  <si>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</si>
  <si>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</si>
  <si>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</si>
  <si>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</si>
  <si>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</si>
  <si>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</si>
  <si>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</si>
  <si>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</si>
  <si>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</si>
  <si>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</si>
  <si>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</si>
  <si>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</si>
  <si>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</si>
  <si>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</si>
  <si>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</si>
  <si>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</si>
  <si>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</si>
  <si>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</si>
  <si>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</si>
  <si>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</si>
  <si>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</si>
  <si>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</si>
  <si>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</si>
  <si>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</si>
  <si>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</si>
  <si>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</si>
  <si>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</si>
  <si>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</si>
  <si>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</si>
  <si>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</si>
  <si>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</si>
  <si>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</si>
  <si>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</si>
  <si>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</si>
  <si>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</si>
  <si>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</si>
  <si>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</si>
  <si>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</si>
  <si>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</si>
  <si>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</si>
  <si>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</si>
  <si>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</si>
  <si>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</si>
  <si>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</si>
  <si>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</si>
  <si>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</si>
  <si>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</si>
  <si>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</si>
  <si>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</si>
  <si>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</si>
  <si>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</si>
  <si>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</si>
  <si>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</si>
  <si>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</si>
  <si>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</si>
  <si>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</si>
  <si>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</si>
  <si>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</si>
  <si>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</si>
  <si>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</si>
  <si>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</si>
  <si>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</si>
  <si>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</si>
  <si>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</si>
  <si>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</si>
  <si>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</si>
  <si>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</si>
  <si>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</si>
  <si>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</si>
  <si>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</si>
  <si>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</si>
  <si>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</si>
  <si>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</si>
  <si>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</si>
  <si>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</si>
  <si>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</si>
  <si>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</si>
  <si>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</si>
  <si>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</si>
  <si>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</si>
  <si>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</si>
  <si>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</si>
  <si>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</si>
  <si>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</si>
  <si>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</si>
  <si>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</si>
  <si>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</si>
  <si>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</si>
  <si>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</si>
  <si>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</si>
  <si>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</si>
  <si>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</si>
  <si>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</si>
  <si>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</si>
  <si>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</si>
  <si>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</si>
  <si>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</si>
  <si>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</si>
  <si>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</si>
  <si>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</si>
  <si>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</si>
  <si>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</si>
  <si>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</si>
  <si>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</si>
  <si>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</si>
  <si>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</si>
  <si>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</si>
  <si>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</si>
  <si>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</si>
  <si>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</si>
  <si>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</si>
  <si>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</si>
  <si>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</si>
  <si>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</si>
  <si>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</si>
  <si>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</si>
  <si>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</si>
  <si>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</si>
  <si>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</si>
  <si>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</si>
  <si>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</si>
  <si>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</si>
  <si>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</si>
  <si>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</si>
  <si>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</si>
  <si>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</si>
  <si>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</si>
  <si>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</si>
  <si>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</si>
  <si>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</si>
  <si>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</si>
  <si>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</si>
  <si>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</si>
  <si>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</si>
  <si>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</si>
  <si>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</si>
  <si>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</si>
  <si>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</si>
  <si>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</si>
  <si>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</si>
  <si>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</si>
  <si>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</si>
  <si>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</si>
  <si>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</si>
  <si>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</si>
  <si>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</si>
  <si>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</si>
  <si>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</si>
  <si>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</si>
  <si>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</si>
  <si>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</si>
  <si>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</si>
  <si>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</si>
  <si>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</si>
  <si>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</si>
  <si>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</si>
  <si>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</si>
  <si>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</si>
  <si>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</si>
  <si>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</si>
  <si>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</si>
  <si>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</si>
  <si>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</si>
  <si>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</si>
  <si>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</si>
  <si>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</si>
  <si>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</si>
  <si>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</si>
  <si>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</si>
  <si>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</si>
  <si>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</si>
  <si>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</si>
  <si>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</si>
  <si>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</si>
  <si>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</si>
  <si>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</si>
  <si>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</si>
  <si>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</si>
  <si>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</si>
  <si>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</si>
  <si>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</si>
  <si>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</si>
  <si>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</si>
  <si>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</si>
  <si>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</si>
  <si>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</si>
  <si>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</si>
  <si>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</si>
  <si>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</si>
  <si>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</si>
  <si>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</si>
  <si>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</si>
  <si>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</si>
  <si>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</si>
  <si>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</si>
  <si>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</si>
  <si>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</si>
  <si>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</si>
  <si>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</si>
  <si>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</si>
  <si>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</si>
  <si>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</si>
  <si>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</si>
  <si>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</si>
  <si>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</si>
  <si>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</si>
  <si>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</si>
  <si>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</si>
  <si>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</si>
  <si>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</si>
  <si>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</si>
  <si>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</si>
  <si>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</si>
  <si>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</si>
  <si>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</si>
  <si>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</si>
  <si>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</si>
  <si>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</si>
  <si>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</si>
  <si>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</si>
  <si>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</si>
  <si>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</si>
  <si>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</si>
  <si>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</si>
  <si>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</si>
  <si>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</si>
  <si>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</si>
  <si>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</si>
  <si>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</si>
  <si>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</si>
  <si>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</si>
  <si>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</si>
  <si>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</si>
  <si>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</si>
  <si>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</si>
  <si>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</si>
  <si>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</si>
  <si>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</si>
  <si>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</si>
  <si>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</si>
  <si>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</si>
  <si>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</si>
  <si>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</si>
  <si>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</si>
  <si>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</si>
  <si>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</si>
  <si>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</si>
  <si>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</si>
  <si>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</si>
  <si>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</si>
  <si>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</si>
  <si>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</si>
  <si>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</si>
  <si>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</si>
  <si>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</si>
  <si>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</si>
  <si>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</si>
  <si>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</si>
  <si>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</si>
  <si>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</si>
  <si>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</si>
  <si>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</si>
  <si>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</si>
  <si>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</si>
  <si>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</si>
  <si>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</si>
  <si>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</si>
  <si>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</si>
  <si>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</si>
  <si>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</si>
  <si>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</si>
  <si>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</si>
  <si>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</si>
  <si>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</si>
  <si>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</si>
  <si>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</si>
  <si>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</si>
  <si>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</si>
  <si>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</si>
  <si>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</si>
  <si>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</si>
  <si>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</si>
  <si>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</si>
  <si>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</si>
  <si>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</si>
  <si>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</si>
  <si>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</si>
  <si>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</si>
  <si>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</si>
  <si>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</si>
  <si>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</si>
  <si>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</si>
  <si>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</si>
  <si>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</si>
  <si>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</si>
  <si>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</si>
  <si>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</si>
  <si>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</si>
  <si>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</si>
  <si>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</si>
  <si>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</si>
  <si>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</si>
  <si>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</si>
  <si>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</si>
  <si>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</si>
  <si>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</si>
  <si>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</si>
  <si>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</si>
  <si>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</si>
  <si>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</si>
  <si>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</si>
  <si>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</si>
  <si>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</si>
  <si>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</si>
  <si>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</si>
  <si>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</si>
  <si>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</si>
  <si>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</si>
  <si>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</si>
  <si>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</si>
  <si>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</si>
  <si>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</si>
  <si>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</si>
  <si>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</si>
  <si>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</si>
  <si>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</si>
  <si>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</si>
  <si>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</si>
  <si>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</si>
  <si>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</si>
  <si>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</si>
  <si>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</si>
  <si>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</si>
  <si>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</si>
  <si>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</si>
  <si>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</si>
  <si>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</si>
  <si>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</si>
  <si>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</si>
  <si>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</si>
  <si>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</si>
  <si>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</si>
  <si>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</si>
  <si>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</si>
  <si>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</si>
  <si>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</si>
  <si>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</si>
  <si>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</si>
  <si>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</si>
  <si>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</si>
  <si>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</si>
  <si>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</si>
  <si>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</si>
  <si>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</si>
  <si>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</si>
  <si>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</si>
  <si>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</si>
  <si>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</si>
  <si>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</si>
  <si>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</si>
  <si>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</si>
  <si>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</si>
  <si>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</si>
  <si>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</si>
  <si>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</si>
  <si>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</si>
  <si>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</si>
  <si>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</si>
  <si>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</si>
  <si>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</si>
  <si>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</si>
  <si>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</si>
  <si>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</si>
  <si>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</si>
  <si>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</si>
  <si>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</si>
  <si>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</si>
  <si>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</si>
  <si>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</si>
  <si>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</si>
  <si>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</si>
  <si>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</si>
  <si>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</si>
  <si>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</si>
  <si>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</si>
  <si>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</si>
  <si>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</si>
  <si>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</si>
  <si>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</si>
  <si>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</si>
  <si>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</si>
  <si>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</si>
  <si>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</si>
  <si>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</si>
  <si>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</si>
  <si>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</si>
  <si>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</si>
  <si>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</si>
  <si>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</si>
  <si>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</si>
  <si>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</si>
  <si>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</si>
  <si>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</si>
  <si>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</si>
  <si>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</si>
  <si>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</si>
  <si>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</si>
  <si>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</si>
  <si>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</si>
  <si>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</si>
  <si>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</si>
  <si>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</si>
  <si>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</si>
  <si>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</si>
  <si>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</si>
  <si>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</si>
  <si>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</si>
  <si>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</si>
  <si>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</si>
  <si>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</si>
  <si>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</si>
  <si>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</si>
  <si>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</si>
  <si>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</si>
  <si>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</si>
  <si>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</si>
  <si>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</si>
  <si>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</si>
  <si>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</si>
  <si>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</si>
  <si>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</si>
  <si>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</si>
  <si>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</si>
  <si>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</si>
  <si>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</si>
  <si>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</si>
  <si>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</si>
  <si>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</si>
  <si>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</si>
  <si>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</si>
  <si>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</si>
  <si>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</si>
  <si>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</si>
  <si>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</si>
  <si>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</si>
  <si>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</si>
  <si>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</si>
  <si>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</si>
  <si>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</si>
  <si>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</si>
  <si>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</si>
  <si>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</si>
  <si>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</si>
  <si>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</si>
  <si>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</si>
  <si>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</si>
  <si>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</si>
  <si>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</si>
  <si>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</si>
  <si>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</si>
  <si>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</si>
  <si>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</si>
  <si>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</si>
  <si>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</si>
  <si>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</si>
  <si>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</si>
  <si>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</si>
  <si>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</si>
  <si>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</si>
  <si>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</si>
  <si>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</si>
  <si>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</si>
  <si>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</si>
  <si>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</si>
  <si>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</si>
  <si>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</si>
  <si>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</si>
  <si>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</si>
  <si>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</si>
  <si>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</si>
  <si>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</si>
  <si>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</si>
  <si>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</si>
  <si>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</si>
  <si>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</si>
  <si>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</si>
  <si>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</si>
  <si>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</si>
  <si>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</si>
  <si>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</si>
  <si>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</si>
  <si>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</si>
  <si>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</si>
  <si>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</si>
  <si>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</si>
  <si>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</si>
  <si>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</si>
  <si>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</si>
  <si>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</si>
  <si>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</si>
  <si>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</si>
  <si>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</si>
  <si>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</si>
  <si>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</si>
  <si>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</si>
  <si>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</si>
  <si>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</si>
  <si>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</si>
  <si>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</si>
  <si>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</si>
  <si>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</si>
  <si>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</si>
  <si>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</si>
  <si>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</si>
  <si>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</si>
  <si>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</si>
  <si>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</si>
  <si>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</si>
  <si>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</si>
  <si>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</si>
  <si>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</si>
  <si>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</si>
  <si>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</si>
  <si>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</si>
  <si>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</si>
  <si>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</si>
  <si>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</si>
  <si>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</si>
  <si>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</si>
  <si>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</si>
  <si>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</si>
  <si>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</si>
  <si>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</si>
  <si>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</si>
  <si>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</si>
  <si>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</si>
  <si>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</si>
  <si>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</si>
  <si>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</si>
  <si>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</si>
  <si>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</si>
  <si>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</si>
  <si>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</si>
  <si>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</si>
  <si>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</si>
  <si>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</si>
  <si>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</si>
  <si>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</si>
  <si>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</si>
  <si>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</si>
  <si>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</si>
  <si>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</si>
  <si>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</si>
  <si>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</si>
  <si>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</si>
  <si>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</si>
  <si>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</si>
  <si>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</si>
  <si>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</si>
  <si>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</si>
  <si>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</si>
  <si>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</si>
  <si>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</si>
  <si>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</si>
  <si>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</si>
  <si>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</si>
  <si>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</si>
  <si>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</si>
  <si>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</si>
  <si>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</si>
  <si>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</si>
  <si>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</si>
  <si>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</si>
  <si>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</si>
  <si>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</si>
  <si>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</si>
  <si>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</si>
  <si>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</si>
  <si>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</si>
  <si>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</si>
  <si>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</si>
  <si>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</si>
  <si>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</si>
  <si>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</si>
  <si>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</si>
  <si>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</si>
  <si>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</si>
  <si>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</si>
  <si>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</si>
  <si>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</si>
  <si>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</si>
  <si>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</si>
  <si>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</si>
  <si>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</si>
  <si>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</si>
  <si>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</si>
  <si>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</si>
  <si>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</si>
  <si>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</si>
  <si>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</si>
  <si>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</si>
  <si>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</si>
  <si>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</si>
  <si>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</si>
  <si>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</si>
  <si>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</si>
  <si>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</si>
  <si>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</si>
  <si>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</si>
  <si>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</si>
  <si>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</si>
  <si>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</si>
  <si>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</si>
  <si>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</si>
  <si>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</si>
  <si>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</si>
  <si>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</si>
  <si>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</si>
  <si>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</si>
  <si>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</si>
  <si>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</si>
  <si>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</si>
  <si>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</si>
  <si>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</si>
  <si>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</si>
  <si>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</si>
  <si>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</si>
  <si>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</si>
  <si>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</si>
  <si>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</si>
  <si>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</si>
  <si>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</si>
  <si>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</si>
  <si>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</si>
  <si>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</si>
  <si>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</si>
  <si>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</si>
  <si>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</si>
  <si>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</si>
  <si>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</si>
  <si>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</si>
  <si>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</si>
  <si>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</si>
  <si>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</si>
  <si>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</si>
  <si>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</si>
  <si>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</si>
  <si>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</si>
  <si>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</si>
  <si>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</si>
  <si>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</si>
  <si>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</si>
  <si>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</si>
  <si>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</si>
  <si>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</si>
  <si>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</si>
  <si>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</si>
  <si>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</si>
  <si>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</si>
  <si>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</si>
  <si>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</si>
  <si>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</si>
  <si>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</si>
  <si>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</si>
  <si>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</si>
  <si>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</si>
  <si>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</si>
  <si>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</si>
  <si>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</si>
  <si>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</si>
  <si>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</si>
  <si>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</si>
  <si>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</si>
  <si>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</si>
  <si>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</si>
  <si>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</si>
  <si>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</si>
  <si>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</si>
  <si>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</si>
  <si>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</si>
  <si>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</si>
  <si>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</si>
  <si>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</si>
  <si>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</si>
  <si>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</si>
  <si>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</si>
  <si>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</si>
  <si>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</si>
  <si>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</si>
  <si>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</si>
  <si>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</si>
  <si>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</si>
  <si>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</si>
  <si>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</si>
  <si>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</si>
  <si>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</si>
  <si>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</si>
  <si>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</si>
  <si>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</si>
  <si>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</si>
  <si>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</si>
  <si>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</si>
  <si>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</si>
  <si>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</si>
  <si>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</si>
  <si>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</si>
  <si>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</si>
  <si>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</si>
  <si>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</si>
  <si>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</si>
  <si>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</si>
  <si>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</si>
  <si>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</si>
  <si>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</si>
  <si>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</si>
  <si>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</si>
  <si>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</si>
  <si>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</si>
  <si>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</si>
  <si>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</si>
  <si>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</si>
  <si>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</si>
  <si>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</si>
  <si>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</si>
  <si>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</si>
  <si>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</si>
  <si>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</si>
  <si>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</si>
  <si>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</si>
  <si>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</si>
  <si>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</si>
  <si>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</si>
  <si>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</si>
  <si>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</si>
  <si>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</si>
  <si>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</si>
  <si>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</si>
  <si>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</si>
  <si>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</si>
  <si>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</si>
  <si>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</si>
  <si>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</si>
  <si>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</si>
  <si>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</si>
  <si>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</si>
  <si>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</si>
  <si>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</si>
  <si>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</si>
  <si>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</si>
  <si>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</si>
  <si>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</si>
  <si>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</si>
  <si>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</si>
  <si>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</si>
  <si>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</si>
  <si>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</si>
  <si>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</si>
  <si>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</si>
  <si>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</si>
  <si>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</si>
  <si>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</si>
  <si>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</si>
  <si>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</si>
  <si>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</si>
  <si>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</si>
  <si>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</si>
  <si>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</si>
  <si>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</si>
  <si>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</si>
  <si>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</si>
  <si>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</si>
  <si>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</si>
  <si>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</si>
  <si>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</si>
  <si>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</si>
  <si>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</si>
  <si>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</si>
  <si>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</si>
  <si>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</si>
  <si>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</si>
  <si>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</si>
  <si>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</si>
  <si>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</si>
  <si>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</si>
  <si>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</si>
  <si>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</si>
  <si>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</si>
  <si>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</si>
  <si>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</si>
  <si>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</si>
  <si>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</si>
  <si>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</si>
  <si>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</si>
  <si>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</si>
  <si>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</si>
  <si>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</si>
  <si>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</si>
  <si>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</si>
  <si>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</si>
  <si>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</si>
  <si>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</si>
  <si>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</si>
  <si>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</si>
  <si>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</si>
  <si>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</si>
  <si>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</si>
  <si>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</si>
  <si>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</si>
  <si>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</si>
  <si>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</si>
  <si>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</si>
  <si>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</si>
  <si>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</si>
  <si>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</si>
  <si>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</si>
  <si>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</si>
  <si>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</si>
  <si>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</si>
  <si>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</si>
  <si>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</si>
  <si>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</si>
  <si>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</si>
  <si>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</si>
  <si>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</si>
  <si>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</si>
  <si>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</si>
  <si>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</si>
  <si>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</si>
  <si>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</si>
  <si>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</si>
  <si>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</si>
  <si>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</si>
  <si>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</si>
  <si>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</si>
  <si>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</si>
  <si>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</si>
  <si>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</si>
  <si>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</si>
  <si>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</si>
  <si>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</si>
  <si>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</si>
  <si>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</si>
  <si>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</si>
  <si>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</si>
  <si>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</si>
  <si>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</si>
  <si>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</si>
  <si>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</si>
  <si>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</si>
  <si>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</si>
  <si>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</si>
  <si>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</si>
  <si>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</si>
  <si>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</si>
  <si>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</si>
  <si>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</si>
  <si>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</si>
  <si>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</si>
  <si>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</si>
  <si>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</si>
  <si>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</si>
  <si>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</si>
  <si>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</si>
  <si>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</si>
  <si>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</si>
  <si>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</si>
  <si>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</si>
  <si>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</si>
  <si>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</si>
  <si>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</si>
  <si>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</si>
  <si>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</si>
  <si>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</si>
  <si>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</si>
  <si>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</si>
  <si>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</si>
  <si>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</si>
  <si>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</si>
  <si>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</si>
  <si>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</si>
  <si>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</si>
  <si>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</si>
  <si>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</si>
  <si>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</si>
  <si>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</si>
  <si>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</si>
  <si>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</si>
  <si>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</si>
  <si>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</si>
  <si>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</si>
  <si>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</si>
  <si>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</si>
  <si>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</si>
  <si>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</si>
  <si>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</si>
  <si>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</si>
  <si>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</si>
  <si>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</si>
  <si>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</si>
  <si>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</si>
  <si>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</si>
  <si>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</si>
  <si>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</si>
  <si>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</si>
  <si>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</si>
  <si>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</si>
  <si>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</si>
  <si>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</si>
  <si>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</si>
  <si>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</si>
  <si>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</si>
  <si>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</si>
  <si>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</si>
  <si>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</si>
  <si>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</si>
  <si>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</si>
  <si>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</si>
  <si>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</si>
  <si>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</si>
  <si>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</si>
  <si>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</si>
  <si>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</si>
  <si>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</si>
  <si>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</si>
  <si>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</si>
  <si>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</si>
  <si>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</si>
  <si>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</si>
  <si>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</si>
  <si>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</si>
  <si>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</si>
  <si>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</si>
  <si>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</si>
  <si>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</si>
  <si>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</si>
  <si>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</si>
  <si>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</si>
  <si>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</si>
  <si>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</si>
  <si>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</si>
  <si>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</si>
  <si>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</si>
  <si>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</si>
  <si>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</si>
  <si>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</si>
  <si>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</si>
  <si>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</si>
  <si>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</si>
  <si>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</si>
  <si>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</si>
  <si>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</si>
  <si>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</si>
  <si>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</si>
  <si>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</si>
  <si>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</si>
  <si>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</si>
  <si>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</si>
  <si>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</si>
  <si>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</si>
  <si>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</si>
  <si>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</si>
  <si>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</si>
  <si>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</si>
  <si>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</si>
  <si>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</si>
  <si>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</si>
  <si>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</si>
  <si>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</si>
  <si>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</si>
  <si>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</si>
  <si>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</si>
  <si>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</si>
  <si>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</si>
  <si>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</si>
  <si>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</si>
  <si>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</si>
  <si>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</si>
  <si>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</si>
  <si>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</si>
  <si>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</si>
  <si>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</si>
  <si>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</si>
  <si>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</si>
  <si>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</si>
  <si>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</si>
  <si>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</si>
  <si>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</si>
  <si>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</si>
  <si>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</si>
  <si>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</si>
  <si>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</si>
  <si>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</si>
  <si>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</si>
  <si>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</si>
  <si>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</si>
  <si>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</si>
  <si>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</si>
  <si>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</si>
  <si>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</si>
  <si>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</si>
  <si>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</si>
  <si>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</si>
  <si>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</si>
  <si>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</si>
  <si>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</si>
  <si>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</si>
  <si>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</si>
  <si>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</si>
  <si>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</si>
  <si>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</si>
  <si>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</si>
  <si>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</si>
  <si>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</si>
  <si>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</si>
  <si>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</si>
  <si>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</si>
  <si>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</si>
  <si>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</si>
  <si>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</si>
  <si>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</si>
  <si>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</si>
  <si>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</si>
  <si>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</si>
  <si>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</si>
  <si>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</si>
  <si>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</si>
  <si>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</si>
  <si>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</si>
  <si>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</si>
  <si>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</si>
  <si>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</si>
  <si>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</si>
  <si>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</si>
  <si>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</si>
  <si>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</si>
  <si>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</si>
  <si>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</si>
  <si>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</si>
  <si>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</si>
  <si>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</si>
  <si>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</si>
  <si>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</si>
  <si>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</si>
  <si>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</si>
  <si>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</si>
  <si>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</si>
  <si>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</si>
  <si>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</si>
  <si>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</si>
  <si>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</si>
  <si>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</si>
  <si>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</si>
  <si>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</si>
  <si>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</si>
  <si>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</si>
  <si>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</si>
  <si>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</si>
  <si>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</si>
  <si>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</si>
  <si>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</si>
  <si>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</si>
  <si>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</si>
  <si>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</si>
  <si>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</si>
  <si>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</si>
  <si>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</si>
  <si>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</si>
  <si>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</si>
  <si>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</si>
  <si>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</si>
  <si>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</si>
  <si>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</si>
  <si>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</si>
  <si>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</si>
  <si>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</si>
  <si>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</si>
  <si>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</si>
  <si>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</si>
  <si>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</si>
  <si>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</si>
  <si>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</si>
  <si>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</si>
  <si>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</si>
  <si>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</si>
  <si>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</si>
  <si>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</si>
  <si>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</si>
  <si>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</si>
  <si>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</si>
  <si>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</si>
  <si>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</si>
  <si>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</si>
  <si>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</si>
  <si>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</si>
  <si>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</si>
  <si>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</si>
  <si>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</si>
  <si>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</si>
  <si>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</si>
  <si>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</si>
  <si>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</si>
  <si>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</si>
  <si>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</si>
  <si>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</si>
  <si>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</si>
  <si>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</si>
  <si>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</si>
  <si>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</si>
  <si>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</si>
  <si>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</si>
  <si>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</si>
  <si>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</si>
  <si>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</si>
  <si>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</si>
  <si>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</si>
  <si>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</si>
  <si>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</si>
  <si>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</si>
  <si>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</si>
  <si>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</si>
  <si>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</si>
  <si>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</si>
  <si>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</si>
  <si>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</si>
  <si>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</si>
  <si>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</si>
  <si>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</si>
  <si>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</si>
  <si>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</si>
  <si>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</si>
  <si>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</si>
  <si>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</si>
  <si>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</si>
  <si>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</si>
  <si>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</si>
  <si>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</si>
  <si>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</si>
  <si>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</si>
  <si>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</si>
  <si>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</si>
  <si>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</si>
  <si>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</si>
  <si>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</si>
  <si>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</si>
  <si>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</si>
  <si>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</si>
  <si>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</si>
  <si>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</si>
  <si>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</si>
  <si>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</si>
  <si>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</si>
  <si>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</si>
  <si>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</si>
  <si>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</si>
  <si>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</si>
  <si>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</si>
  <si>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</si>
  <si>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</si>
  <si>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</si>
  <si>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</si>
  <si>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</si>
  <si>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</si>
  <si>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</si>
  <si>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</si>
  <si>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</si>
  <si>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</si>
  <si>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</si>
  <si>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</si>
  <si>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</si>
  <si>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</si>
  <si>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</si>
  <si>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</si>
  <si>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</si>
  <si>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</si>
  <si>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</si>
  <si>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</si>
  <si>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</si>
  <si>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</si>
  <si>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</si>
  <si>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</si>
  <si>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</si>
  <si>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</si>
  <si>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</si>
  <si>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</si>
  <si>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</si>
  <si>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</si>
  <si>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</si>
  <si>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</si>
  <si>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</si>
  <si>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</si>
  <si>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</si>
  <si>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</si>
  <si>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</si>
  <si>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</si>
  <si>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</si>
  <si>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</si>
  <si>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</si>
  <si>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</si>
  <si>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</si>
  <si>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</si>
  <si>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</si>
  <si>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</si>
  <si>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</si>
  <si>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</si>
  <si>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</si>
  <si>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</si>
  <si>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</si>
  <si>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</si>
  <si>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</si>
  <si>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</si>
  <si>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</si>
  <si>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</si>
  <si>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</si>
  <si>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</si>
  <si>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</si>
  <si>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</si>
  <si>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</si>
  <si>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</si>
  <si>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</si>
  <si>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</si>
  <si>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</si>
  <si>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</si>
  <si>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</si>
  <si>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</si>
  <si>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</si>
  <si>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</si>
  <si>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</si>
  <si>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</si>
  <si>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</si>
  <si>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</si>
  <si>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</si>
  <si>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</si>
  <si>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</si>
  <si>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</si>
  <si>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</si>
  <si>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</si>
  <si>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</si>
  <si>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</si>
  <si>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</si>
  <si>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</si>
  <si>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</si>
  <si>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</si>
  <si>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</si>
  <si>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</si>
  <si>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</si>
  <si>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</si>
  <si>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</si>
  <si>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</si>
  <si>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</si>
  <si>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</si>
  <si>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</si>
  <si>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</si>
  <si>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</si>
  <si>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</si>
  <si>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</si>
  <si>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</si>
  <si>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</si>
  <si>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</si>
  <si>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</si>
  <si>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</si>
  <si>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</si>
  <si>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</si>
  <si>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</si>
  <si>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</si>
  <si>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</si>
  <si>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</si>
  <si>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</si>
  <si>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</si>
  <si>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</si>
  <si>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</si>
  <si>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</si>
  <si>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</si>
  <si>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</si>
  <si>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</si>
  <si>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</si>
  <si>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</si>
  <si>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</si>
  <si>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</si>
  <si>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</si>
  <si>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</si>
  <si>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</si>
  <si>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</si>
  <si>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</si>
  <si>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</si>
  <si>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</si>
  <si>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</si>
  <si>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</si>
  <si>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</si>
  <si>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</si>
  <si>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</si>
  <si>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</si>
  <si>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</si>
  <si>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</si>
  <si>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</si>
  <si>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</si>
  <si>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</si>
  <si>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</si>
  <si>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</si>
  <si>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</si>
  <si>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</si>
  <si>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</si>
  <si>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</si>
  <si>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</si>
  <si>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</si>
  <si>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</si>
  <si>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</si>
  <si>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</si>
  <si>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</si>
  <si>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</si>
  <si>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</si>
  <si>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</si>
  <si>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</si>
  <si>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</si>
  <si>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</si>
  <si>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</si>
  <si>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</si>
  <si>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</si>
  <si>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</si>
  <si>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</si>
  <si>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</si>
  <si>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</si>
  <si>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</si>
  <si>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</si>
  <si>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</si>
  <si>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</si>
  <si>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</si>
  <si>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</si>
  <si>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</si>
  <si>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</si>
  <si>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</si>
  <si>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</si>
  <si>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</si>
  <si>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</si>
  <si>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</si>
  <si>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</si>
  <si>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</si>
  <si>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</si>
  <si>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</si>
  <si>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</si>
  <si>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</si>
  <si>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</si>
  <si>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</si>
  <si>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</si>
  <si>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</si>
  <si>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</si>
  <si>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</si>
  <si>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</si>
  <si>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</si>
  <si>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</si>
  <si>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</si>
  <si>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</si>
  <si>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</si>
  <si>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</si>
  <si>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</si>
  <si>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</si>
  <si>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</si>
  <si>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</si>
  <si>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</si>
  <si>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</si>
  <si>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</si>
  <si>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</si>
  <si>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</si>
  <si>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</si>
  <si>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</si>
  <si>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</si>
  <si>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</si>
  <si>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</si>
  <si>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</si>
  <si>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</si>
  <si>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</si>
  <si>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</si>
  <si>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</si>
  <si>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</si>
  <si>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</si>
  <si>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</si>
  <si>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</si>
  <si>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</si>
  <si>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</si>
  <si>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</si>
  <si>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</si>
  <si>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</si>
  <si>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</si>
  <si>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</si>
  <si>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</si>
  <si>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</si>
  <si>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</si>
  <si>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</si>
  <si>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</si>
  <si>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</si>
  <si>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</si>
  <si>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</si>
  <si>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</si>
  <si>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</si>
  <si>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</si>
  <si>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</si>
  <si>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</si>
  <si>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</si>
  <si>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</si>
  <si>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</si>
  <si>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</si>
  <si>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</si>
  <si>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</si>
  <si>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</si>
  <si>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</si>
  <si>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</si>
  <si>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</si>
  <si>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</si>
  <si>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</si>
  <si>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</si>
  <si>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</si>
  <si>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</si>
  <si>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</si>
  <si>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</si>
  <si>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</si>
  <si>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</si>
  <si>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</si>
  <si>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</si>
  <si>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</si>
  <si>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</si>
  <si>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</si>
  <si>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</si>
  <si>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</si>
  <si>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</si>
  <si>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</si>
  <si>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</si>
  <si>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</si>
  <si>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</si>
  <si>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</si>
  <si>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</si>
  <si>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</si>
  <si>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</si>
  <si>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</si>
  <si>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</si>
  <si>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</si>
  <si>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</si>
  <si>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</si>
  <si>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</si>
  <si>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</si>
  <si>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</si>
  <si>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</si>
  <si>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</si>
  <si>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</si>
  <si>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</si>
  <si>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</si>
  <si>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</si>
  <si>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</si>
  <si>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</si>
  <si>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</si>
  <si>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</si>
  <si>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</si>
  <si>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</si>
  <si>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</si>
  <si>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</si>
  <si>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</si>
  <si>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</si>
  <si>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</si>
  <si>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</si>
  <si>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</si>
  <si>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</si>
  <si>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</si>
  <si>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</si>
  <si>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</si>
  <si>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</si>
  <si>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</si>
  <si>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</si>
  <si>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</si>
  <si>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</si>
  <si>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</si>
  <si>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</si>
  <si>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</si>
  <si>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</si>
  <si>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</si>
  <si>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</si>
  <si>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</si>
  <si>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</si>
  <si>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</si>
  <si>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</si>
  <si>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</si>
  <si>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</si>
  <si>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</si>
  <si>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</si>
  <si>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</si>
  <si>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</si>
  <si>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</si>
  <si>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</si>
  <si>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</si>
  <si>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</si>
  <si>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</si>
  <si>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</si>
  <si>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</si>
  <si>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</si>
  <si>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</si>
  <si>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</si>
  <si>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</si>
  <si>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</si>
  <si>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</si>
  <si>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</si>
  <si>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</si>
  <si>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</si>
  <si>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</si>
  <si>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</si>
  <si>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</si>
  <si>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</si>
  <si>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</si>
  <si>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</si>
  <si>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</si>
  <si>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</si>
  <si>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</si>
  <si>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</si>
  <si>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</si>
  <si>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</si>
  <si>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</si>
  <si>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</si>
  <si>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</si>
  <si>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</si>
  <si>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</si>
  <si>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</si>
  <si>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</si>
  <si>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</si>
  <si>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</si>
  <si>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</si>
  <si>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</si>
  <si>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</si>
  <si>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</si>
  <si>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</si>
  <si>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</si>
  <si>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</si>
  <si>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</si>
  <si>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</si>
  <si>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</si>
  <si>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</si>
  <si>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</si>
  <si>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</si>
  <si>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</si>
  <si>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</si>
  <si>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</si>
  <si>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</si>
  <si>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</si>
  <si>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</si>
  <si>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</si>
  <si>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</si>
  <si>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</si>
  <si>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</si>
  <si>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</si>
  <si>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</si>
  <si>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</si>
  <si>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</si>
  <si>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</si>
  <si>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</si>
  <si>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</si>
  <si>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</si>
  <si>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</si>
  <si>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</si>
  <si>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</si>
  <si>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</si>
  <si>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</si>
  <si>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</si>
  <si>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</si>
  <si>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</si>
  <si>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</si>
  <si>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</si>
  <si>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</si>
  <si>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</si>
  <si>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</si>
  <si>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</si>
  <si>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</si>
  <si>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</si>
  <si>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</si>
  <si>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</si>
  <si>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</si>
  <si>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</si>
  <si>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</si>
  <si>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</si>
  <si>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</si>
  <si>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</si>
  <si>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</si>
  <si>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</si>
  <si>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</si>
  <si>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</si>
  <si>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</si>
  <si>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</si>
  <si>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</si>
  <si>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</si>
  <si>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</si>
  <si>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</si>
  <si>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</si>
  <si>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</si>
  <si>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</si>
  <si>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</si>
  <si>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</si>
  <si>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</si>
  <si>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</si>
  <si>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</si>
  <si>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</si>
  <si>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</si>
  <si>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</si>
  <si>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</si>
  <si>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</si>
  <si>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</si>
  <si>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</si>
  <si>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</si>
  <si>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</si>
  <si>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</si>
  <si>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</si>
  <si>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</si>
  <si>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</si>
  <si>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</si>
  <si>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</si>
  <si>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</si>
  <si>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</si>
  <si>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</si>
  <si>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</si>
  <si>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</si>
  <si>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</si>
  <si>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</si>
  <si>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</si>
  <si>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</si>
  <si>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</si>
  <si>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</si>
  <si>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</si>
  <si>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</si>
  <si>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</si>
  <si>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</si>
  <si>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</si>
  <si>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</si>
  <si>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</si>
  <si>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</si>
  <si>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</si>
  <si>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</si>
  <si>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</si>
  <si>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</si>
  <si>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</si>
  <si>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</si>
  <si>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</si>
  <si>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</si>
  <si>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</si>
  <si>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</si>
  <si>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</si>
  <si>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</si>
  <si>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</si>
  <si>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</si>
  <si>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</si>
  <si>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</si>
  <si>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</si>
  <si>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</si>
  <si>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</si>
  <si>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</si>
  <si>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</si>
  <si>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</si>
  <si>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</si>
  <si>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</si>
  <si>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</si>
  <si>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</si>
  <si>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</si>
  <si>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</si>
  <si>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</si>
  <si>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</si>
  <si>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</si>
  <si>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</si>
  <si>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</si>
  <si>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</si>
  <si>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</si>
  <si>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</si>
  <si>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</si>
  <si>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</si>
  <si>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</si>
  <si>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</si>
  <si>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</si>
  <si>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</si>
  <si>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</si>
  <si>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</si>
  <si>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</si>
  <si>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</si>
  <si>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</si>
  <si>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</si>
  <si>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</si>
  <si>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</si>
  <si>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</si>
  <si>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</si>
  <si>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</si>
  <si>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</si>
  <si>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</si>
  <si>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</si>
  <si>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</si>
  <si>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</si>
  <si>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</si>
  <si>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</si>
  <si>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</si>
  <si>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</si>
  <si>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</si>
  <si>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</si>
  <si>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</si>
  <si>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</si>
  <si>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</si>
  <si>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</si>
  <si>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</si>
  <si>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</si>
  <si>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</si>
  <si>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</si>
  <si>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</si>
  <si>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</si>
  <si>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</si>
  <si>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</si>
  <si>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</si>
  <si>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</si>
  <si>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</si>
  <si>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</si>
  <si>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</si>
  <si>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</si>
  <si>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</si>
  <si>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</si>
  <si>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</si>
  <si>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</si>
  <si>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</si>
  <si>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</si>
  <si>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</si>
  <si>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</si>
  <si>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</si>
  <si>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</si>
  <si>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</si>
  <si>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</si>
  <si>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</si>
  <si>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</si>
  <si>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</si>
  <si>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</si>
  <si>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</si>
  <si>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</si>
  <si>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</si>
  <si>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</si>
  <si>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</si>
  <si>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</si>
  <si>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</si>
  <si>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</si>
  <si>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</si>
  <si>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</si>
  <si>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</si>
  <si>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</si>
  <si>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</si>
  <si>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</si>
  <si>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</si>
  <si>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</si>
  <si>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</si>
  <si>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</si>
  <si>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</si>
  <si>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</si>
  <si>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</si>
  <si>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</si>
  <si>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</si>
  <si>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</si>
  <si>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</si>
  <si>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</si>
  <si>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</si>
  <si>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</si>
  <si>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</si>
  <si>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</si>
  <si>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</si>
  <si>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</si>
  <si>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</si>
  <si>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</si>
  <si>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</si>
  <si>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</si>
  <si>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</si>
  <si>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</si>
  <si>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</si>
  <si>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</si>
  <si>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</si>
  <si>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</si>
  <si>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</si>
  <si>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</si>
  <si>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</si>
  <si>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</si>
  <si>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</si>
  <si>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</si>
  <si>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</si>
  <si>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</si>
  <si>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</si>
  <si>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</si>
  <si>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</si>
  <si>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</si>
  <si>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</si>
  <si>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</si>
  <si>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</si>
  <si>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</si>
  <si>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</si>
  <si>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</si>
  <si>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</si>
  <si>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</si>
  <si>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</si>
  <si>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</si>
  <si>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</si>
  <si>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</si>
  <si>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</si>
  <si>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</si>
  <si>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</si>
  <si>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</si>
  <si>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</si>
  <si>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</si>
  <si>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</si>
  <si>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</si>
  <si>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</si>
  <si>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</si>
  <si>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</si>
  <si>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</si>
  <si>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</si>
  <si>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</si>
  <si>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</si>
  <si>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</si>
  <si>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</si>
  <si>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</si>
  <si>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</si>
  <si>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</si>
  <si>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</si>
  <si>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</si>
  <si>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</si>
  <si>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</si>
  <si>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</si>
  <si>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</si>
  <si>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</si>
  <si>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</si>
  <si>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</si>
  <si>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</si>
  <si>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</si>
  <si>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</si>
  <si>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</si>
  <si>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</si>
  <si>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</si>
  <si>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</si>
  <si>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</si>
  <si>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</si>
  <si>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</si>
  <si>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</si>
  <si>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</si>
  <si>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</si>
  <si>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</si>
  <si>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</si>
  <si>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</si>
  <si>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</si>
  <si>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</si>
  <si>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</si>
  <si>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</si>
  <si>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</si>
  <si>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</si>
  <si>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</si>
  <si>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</si>
  <si>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</si>
  <si>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</si>
  <si>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</si>
  <si>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</si>
  <si>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</si>
  <si>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</si>
  <si>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</si>
  <si>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</si>
  <si>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</si>
  <si>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</si>
  <si>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</si>
  <si>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</si>
  <si>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</si>
  <si>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</si>
  <si>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</si>
  <si>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</si>
  <si>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</si>
  <si>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</si>
  <si>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</si>
  <si>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</si>
  <si>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</si>
  <si>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</si>
  <si>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</si>
  <si>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</si>
  <si>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</si>
  <si>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</si>
  <si>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</si>
  <si>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</si>
  <si>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</si>
  <si>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</si>
  <si>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</si>
  <si>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</si>
  <si>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</si>
  <si>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</si>
  <si>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</si>
  <si>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</si>
  <si>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</si>
  <si>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</si>
  <si>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</si>
  <si>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</si>
  <si>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</si>
  <si>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</si>
  <si>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</si>
  <si>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</si>
  <si>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</si>
  <si>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</si>
  <si>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</si>
  <si>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</si>
  <si>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</si>
  <si>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</si>
  <si>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</si>
  <si>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</si>
  <si>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</si>
  <si>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</si>
  <si>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</si>
  <si>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</si>
  <si>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</si>
  <si>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</si>
  <si>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</si>
  <si>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</si>
  <si>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</si>
  <si>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</si>
  <si>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</si>
  <si>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</si>
  <si>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</si>
  <si>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</si>
  <si>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</si>
  <si>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</si>
  <si>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</si>
  <si>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</si>
  <si>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</si>
  <si>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</si>
  <si>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</si>
  <si>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</si>
  <si>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</si>
  <si>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</si>
  <si>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</si>
  <si>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</si>
  <si>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</si>
  <si>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</si>
  <si>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</si>
  <si>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</si>
  <si>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</si>
  <si>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</si>
  <si>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</si>
  <si>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</si>
  <si>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</si>
  <si>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</si>
  <si>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</si>
  <si>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</si>
  <si>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</si>
  <si>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</si>
  <si>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</si>
  <si>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</si>
  <si>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</si>
  <si>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</si>
  <si>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</si>
  <si>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</si>
  <si>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</si>
  <si>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</si>
  <si>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</si>
  <si>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</si>
  <si>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</si>
  <si>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</si>
  <si>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</si>
  <si>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</si>
  <si>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</si>
  <si>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</si>
  <si>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</si>
  <si>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</si>
  <si>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</si>
  <si>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</si>
  <si>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</si>
  <si>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</si>
  <si>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</si>
  <si>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</si>
  <si>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</si>
  <si>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</si>
  <si>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</si>
  <si>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</si>
  <si>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</si>
  <si>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</si>
  <si>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</si>
  <si>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</si>
  <si>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</si>
  <si>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</si>
  <si>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</si>
  <si>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</si>
  <si>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</si>
  <si>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</si>
  <si>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</si>
  <si>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</si>
  <si>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</si>
  <si>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</si>
  <si>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</si>
  <si>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</si>
  <si>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</si>
  <si>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</si>
  <si>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</si>
  <si>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</si>
  <si>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</si>
  <si>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</si>
  <si>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</si>
  <si>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</si>
  <si>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</si>
  <si>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</si>
  <si>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</si>
  <si>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</si>
  <si>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</si>
  <si>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</si>
  <si>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</si>
  <si>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</si>
  <si>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</si>
  <si>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</si>
  <si>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</si>
  <si>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</si>
  <si>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</si>
  <si>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</si>
  <si>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</si>
  <si>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</si>
  <si>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</si>
  <si>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</si>
  <si>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</si>
  <si>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</si>
  <si>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</si>
  <si>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</si>
  <si>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</si>
  <si>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</si>
  <si>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</si>
  <si>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</si>
  <si>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</si>
  <si>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</si>
  <si>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</si>
  <si>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</si>
  <si>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</si>
  <si>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</si>
  <si>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</si>
  <si>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</si>
  <si>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</si>
  <si>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</si>
  <si>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</si>
  <si>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</si>
  <si>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</si>
  <si>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</si>
  <si>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</si>
  <si>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</si>
  <si>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</si>
  <si>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</si>
  <si>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</si>
  <si>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</si>
  <si>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</si>
  <si>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</si>
  <si>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</si>
  <si>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</si>
  <si>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</si>
  <si>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</si>
  <si>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</si>
  <si>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</si>
  <si>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</si>
  <si>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</si>
  <si>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</si>
  <si>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</si>
  <si>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</si>
  <si>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</si>
  <si>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</si>
  <si>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</si>
  <si>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</si>
  <si>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</si>
  <si>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</si>
  <si>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</si>
  <si>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</si>
  <si>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</si>
  <si>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</si>
  <si>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</si>
  <si>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</si>
  <si>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</si>
  <si>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</si>
  <si>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</si>
  <si>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</si>
  <si>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</si>
  <si>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</si>
  <si>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</si>
  <si>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</si>
  <si>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</si>
  <si>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</si>
  <si>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</si>
  <si>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</si>
  <si>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</si>
  <si>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</si>
  <si>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</si>
  <si>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</si>
  <si>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</si>
  <si>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</si>
  <si>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</si>
  <si>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</si>
  <si>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</si>
  <si>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</si>
  <si>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</si>
  <si>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</si>
  <si>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</si>
  <si>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</si>
  <si>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</si>
  <si>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</si>
  <si>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</si>
  <si>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</si>
  <si>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</si>
  <si>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</si>
  <si>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</si>
  <si>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</si>
  <si>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</si>
  <si>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</si>
  <si>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</si>
  <si>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</si>
  <si>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</si>
  <si>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</si>
  <si>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</si>
  <si>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</si>
  <si>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</si>
  <si>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</si>
  <si>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</si>
  <si>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</si>
  <si>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</si>
  <si>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</si>
  <si>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</si>
  <si>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</si>
  <si>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</si>
  <si>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</si>
  <si>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</si>
  <si>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</si>
  <si>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</si>
  <si>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</si>
  <si>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</si>
  <si>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</si>
  <si>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</si>
  <si>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</si>
  <si>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</si>
  <si>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</si>
  <si>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</si>
  <si>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</si>
  <si>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</si>
  <si>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</si>
  <si>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</si>
  <si>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</si>
  <si>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</si>
  <si>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</si>
  <si>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</si>
  <si>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</si>
  <si>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</si>
  <si>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</si>
  <si>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</si>
  <si>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</si>
  <si>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</si>
  <si>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</si>
  <si>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</si>
  <si>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</si>
  <si>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</si>
  <si>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</si>
  <si>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</si>
  <si>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</si>
  <si>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</si>
  <si>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</si>
  <si>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</si>
  <si>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</si>
  <si>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</si>
  <si>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</si>
  <si>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</si>
  <si>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</si>
  <si>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</si>
  <si>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</si>
  <si>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</si>
  <si>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</si>
  <si>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</si>
  <si>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</si>
  <si>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</si>
  <si>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</si>
  <si>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</si>
  <si>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</si>
  <si>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</si>
  <si>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</si>
  <si>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</si>
  <si>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</si>
  <si>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</si>
  <si>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</si>
  <si>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</si>
  <si>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</si>
  <si>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</si>
  <si>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</si>
  <si>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</si>
  <si>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</si>
  <si>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</si>
  <si>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</si>
  <si>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</si>
  <si>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</si>
  <si>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</si>
  <si>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</si>
  <si>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</si>
  <si>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</si>
  <si>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</si>
  <si>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</si>
  <si>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</si>
  <si>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</si>
  <si>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</si>
  <si>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</si>
  <si>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</si>
  <si>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</si>
  <si>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</si>
  <si>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</si>
  <si>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</si>
  <si>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</si>
  <si>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</si>
  <si>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</si>
  <si>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</si>
  <si>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</si>
  <si>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</si>
  <si>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</si>
  <si>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</si>
  <si>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</si>
  <si>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</si>
  <si>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</si>
  <si>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</si>
  <si>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</si>
  <si>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</si>
  <si>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</si>
  <si>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</si>
  <si>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</si>
  <si>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</si>
  <si>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</si>
  <si>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</si>
  <si>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</si>
  <si>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</si>
  <si>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</si>
  <si>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</si>
  <si>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</si>
  <si>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</si>
  <si>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</si>
  <si>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</si>
  <si>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</si>
  <si>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</si>
  <si>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</si>
  <si>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</si>
  <si>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</si>
  <si>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</si>
  <si>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</si>
  <si>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</si>
  <si>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</si>
  <si>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</si>
  <si>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</si>
  <si>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</si>
  <si>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</si>
  <si>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</si>
  <si>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</si>
  <si>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</si>
  <si>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</si>
  <si>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</si>
  <si>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</si>
  <si>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</si>
  <si>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</si>
  <si>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</si>
  <si>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</si>
  <si>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</si>
  <si>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</si>
  <si>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</si>
  <si>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</si>
  <si>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</si>
  <si>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</si>
  <si>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</si>
  <si>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</si>
  <si>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</si>
  <si>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</si>
  <si>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</si>
  <si>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</si>
  <si>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</si>
  <si>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</si>
  <si>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</si>
  <si>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</si>
  <si>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</si>
  <si>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</si>
  <si>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</si>
  <si>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</si>
  <si>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</si>
  <si>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</si>
  <si>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</si>
  <si>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</si>
  <si>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</si>
  <si>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</si>
  <si>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</si>
  <si>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</si>
  <si>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</si>
  <si>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</si>
  <si>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</si>
  <si>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</si>
  <si>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</si>
  <si>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</si>
  <si>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</si>
  <si>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</si>
  <si>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</si>
  <si>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</si>
  <si>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</si>
  <si>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</si>
  <si>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</si>
  <si>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</si>
  <si>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</si>
  <si>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</si>
  <si>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</si>
  <si>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</si>
  <si>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</si>
  <si>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</si>
  <si>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</si>
  <si>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</si>
  <si>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</si>
  <si>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</si>
  <si>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</si>
  <si>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</si>
  <si>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</si>
  <si>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</si>
  <si>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</si>
  <si>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</si>
  <si>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</si>
  <si>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</si>
  <si>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</si>
  <si>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</si>
  <si>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</si>
  <si>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</si>
  <si>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</si>
  <si>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</si>
  <si>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</si>
  <si>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</si>
  <si>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</si>
  <si>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</si>
  <si>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</si>
  <si>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</si>
  <si>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</si>
  <si>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</si>
  <si>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</si>
  <si>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</si>
  <si>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</si>
  <si>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</si>
  <si>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</si>
  <si>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</si>
  <si>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</si>
  <si>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</si>
  <si>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</si>
  <si>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</si>
  <si>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</si>
  <si>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</si>
  <si>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</si>
  <si>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</si>
  <si>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</si>
  <si>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</si>
  <si>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</si>
  <si>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</si>
  <si>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</si>
  <si>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</si>
  <si>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</si>
  <si>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</si>
  <si>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</si>
  <si>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</si>
  <si>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</si>
  <si>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</si>
  <si>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</si>
  <si>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</si>
  <si>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</si>
  <si>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</si>
  <si>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</si>
  <si>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</si>
  <si>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</si>
  <si>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</si>
  <si>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</si>
  <si>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</si>
  <si>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</si>
  <si>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</si>
  <si>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</si>
  <si>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</si>
  <si>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</si>
  <si>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</si>
  <si>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</si>
  <si>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</si>
  <si>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</si>
  <si>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</si>
  <si>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</si>
  <si>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</si>
  <si>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</si>
  <si>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</si>
  <si>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</si>
  <si>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</si>
  <si>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</si>
  <si>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</si>
  <si>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</si>
  <si>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</si>
  <si>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</si>
  <si>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</si>
  <si>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</si>
  <si>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</si>
  <si>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</si>
  <si>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</si>
  <si>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</si>
  <si>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</si>
  <si>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</si>
  <si>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</si>
  <si>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</si>
  <si>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</si>
  <si>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</si>
  <si>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</si>
  <si>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</si>
  <si>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</si>
  <si>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</si>
  <si>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</si>
  <si>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</si>
  <si>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</si>
  <si>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</si>
  <si>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</si>
  <si>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</si>
  <si>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</si>
  <si>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</si>
  <si>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</si>
  <si>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</si>
  <si>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</si>
  <si>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</si>
  <si>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</si>
  <si>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</si>
  <si>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</si>
  <si>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</si>
  <si>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</si>
  <si>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</si>
  <si>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</si>
  <si>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</si>
  <si>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</si>
  <si>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</si>
  <si>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</si>
  <si>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</si>
  <si>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</si>
  <si>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</si>
  <si>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</si>
  <si>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</si>
  <si>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</si>
  <si>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</si>
  <si>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</si>
  <si>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</si>
  <si>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</si>
  <si>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</si>
  <si>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</si>
  <si>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</si>
  <si>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</si>
  <si>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</si>
  <si>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</si>
  <si>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</si>
  <si>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</si>
  <si>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</si>
  <si>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</si>
  <si>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</si>
  <si>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</si>
  <si>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</si>
  <si>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</si>
  <si>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</si>
  <si>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</si>
  <si>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</si>
  <si>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</si>
  <si>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</si>
  <si>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</si>
  <si>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</si>
  <si>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</si>
  <si>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</si>
  <si>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</si>
  <si>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</si>
  <si>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</si>
  <si>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</si>
  <si>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</si>
  <si>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</si>
  <si>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</si>
  <si>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</si>
  <si>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</si>
  <si>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</si>
  <si>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</si>
  <si>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</si>
  <si>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</si>
  <si>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</si>
  <si>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</si>
  <si>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</si>
  <si>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</si>
  <si>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</si>
  <si>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</si>
  <si>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</si>
  <si>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</si>
  <si>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</si>
  <si>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</si>
  <si>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</si>
  <si>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</si>
  <si>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</si>
  <si>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</si>
  <si>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</si>
  <si>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</si>
  <si>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</si>
  <si>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</si>
  <si>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</si>
  <si>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</si>
  <si>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</si>
  <si>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</si>
  <si>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</si>
  <si>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</si>
  <si>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</si>
  <si>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</si>
  <si>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</si>
  <si>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</si>
  <si>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</si>
  <si>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</si>
  <si>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</si>
  <si>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</si>
  <si>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</si>
  <si>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</si>
  <si>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</si>
  <si>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</si>
  <si>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</si>
  <si>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</si>
  <si>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</si>
  <si>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</si>
  <si>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</si>
  <si>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</si>
  <si>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</si>
  <si>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</si>
  <si>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</si>
  <si>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</si>
  <si>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</si>
  <si>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</si>
  <si>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</si>
  <si>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</si>
  <si>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</si>
  <si>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</si>
  <si>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</si>
  <si>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</si>
  <si>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</si>
  <si>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</si>
  <si>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</si>
  <si>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</si>
  <si>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</si>
  <si>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</si>
  <si>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</si>
  <si>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</si>
  <si>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</si>
  <si>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</si>
  <si>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</si>
  <si>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</si>
  <si>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</si>
  <si>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</si>
  <si>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</si>
  <si>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</si>
  <si>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</si>
  <si>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</si>
  <si>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</si>
  <si>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</si>
  <si>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</si>
  <si>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</si>
  <si>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</si>
  <si>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</si>
  <si>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</si>
  <si>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</si>
  <si>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</si>
  <si>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</si>
  <si>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</si>
  <si>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</si>
  <si>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</si>
  <si>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</si>
  <si>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</si>
  <si>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</si>
  <si>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</si>
  <si>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</si>
  <si>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</si>
  <si>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</si>
  <si>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</si>
  <si>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</si>
  <si>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</si>
  <si>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</si>
  <si>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</si>
  <si>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</si>
  <si>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</si>
  <si>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</si>
  <si>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</si>
  <si>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</si>
  <si>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</si>
  <si>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</si>
  <si>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</si>
  <si>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</si>
  <si>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</si>
  <si>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</si>
  <si>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</si>
  <si>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</si>
  <si>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</si>
  <si>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</si>
  <si>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</si>
  <si>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</si>
  <si>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</si>
  <si>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</si>
  <si>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</si>
  <si>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</si>
  <si>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</si>
  <si>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</si>
  <si>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</si>
  <si>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</si>
  <si>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</si>
  <si>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</si>
  <si>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</si>
  <si>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</si>
  <si>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</si>
  <si>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</si>
  <si>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</si>
  <si>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</si>
  <si>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</si>
  <si>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</si>
  <si>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</si>
  <si>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</si>
  <si>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</si>
  <si>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</si>
  <si>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</si>
  <si>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</si>
  <si>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</si>
  <si>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</si>
  <si>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</si>
  <si>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</si>
  <si>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</si>
  <si>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</si>
  <si>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</si>
  <si>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</si>
  <si>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</si>
  <si>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</si>
  <si>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</si>
  <si>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</si>
  <si>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</si>
  <si>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</si>
  <si>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</si>
  <si>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</si>
  <si>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</si>
  <si>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</si>
  <si>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</si>
  <si>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</si>
  <si>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</si>
  <si>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</si>
  <si>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</si>
  <si>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</si>
  <si>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</si>
  <si>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</si>
  <si>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</si>
  <si>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</si>
  <si>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</si>
  <si>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</si>
  <si>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</si>
  <si>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</si>
  <si>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</si>
  <si>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</si>
  <si>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</si>
  <si>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</si>
  <si>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</si>
  <si>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</si>
  <si>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</si>
  <si>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</si>
  <si>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</si>
  <si>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</si>
  <si>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</si>
  <si>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</si>
  <si>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</si>
  <si>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</si>
  <si>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</si>
  <si>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</si>
  <si>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</si>
  <si>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</si>
  <si>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</si>
  <si>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</si>
  <si>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</si>
  <si>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</si>
  <si>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</si>
  <si>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</si>
  <si>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</si>
  <si>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</si>
  <si>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</si>
  <si>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</si>
  <si>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</si>
  <si>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</si>
  <si>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</si>
  <si>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</si>
  <si>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</si>
  <si>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</si>
  <si>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</si>
  <si>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</si>
  <si>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</si>
  <si>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</si>
  <si>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</si>
  <si>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</si>
  <si>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</si>
  <si>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</si>
  <si>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</si>
  <si>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</si>
  <si>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</si>
  <si>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</si>
  <si>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</si>
  <si>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</si>
  <si>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</si>
  <si>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</si>
  <si>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</si>
  <si>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</si>
  <si>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</si>
  <si>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</si>
  <si>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</si>
  <si>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</si>
  <si>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</si>
  <si>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</si>
  <si>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</si>
  <si>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</si>
  <si>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</si>
  <si>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</si>
  <si>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</si>
  <si>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</si>
  <si>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</si>
  <si>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</si>
  <si>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</si>
  <si>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</si>
  <si>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</si>
  <si>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</si>
  <si>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</si>
  <si>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</si>
  <si>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</si>
  <si>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</si>
  <si>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</si>
  <si>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</si>
  <si>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</si>
  <si>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</si>
  <si>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</si>
  <si>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</si>
  <si>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</si>
  <si>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</si>
  <si>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</si>
  <si>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</si>
  <si>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</si>
  <si>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</si>
  <si>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</si>
  <si>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</si>
  <si>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</si>
  <si>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</si>
  <si>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</si>
  <si>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</si>
  <si>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</si>
  <si>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</si>
  <si>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</si>
  <si>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</si>
  <si>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</si>
  <si>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</si>
  <si>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</si>
  <si>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</si>
  <si>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</si>
  <si>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</si>
  <si>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</si>
  <si>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</si>
  <si>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</si>
  <si>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</si>
  <si>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</si>
  <si>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</si>
  <si>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</si>
  <si>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</si>
  <si>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</si>
  <si>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</si>
  <si>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</si>
  <si>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</si>
  <si>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</si>
  <si>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</si>
  <si>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</si>
  <si>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</si>
  <si>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</si>
  <si>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</si>
  <si>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</si>
  <si>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</si>
  <si>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</si>
  <si>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</si>
  <si>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</si>
  <si>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</si>
  <si>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</si>
  <si>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</si>
  <si>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</si>
  <si>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</si>
  <si>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</si>
  <si>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</si>
  <si>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</si>
  <si>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</si>
  <si>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</si>
  <si>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</si>
  <si>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</si>
  <si>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</si>
  <si>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</si>
  <si>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</si>
  <si>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</si>
  <si>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</si>
  <si>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</si>
  <si>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</si>
  <si>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</si>
  <si>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</si>
  <si>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</si>
  <si>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</si>
  <si>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</si>
  <si>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</si>
  <si>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</si>
  <si>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</si>
  <si>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</si>
  <si>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</si>
  <si>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</si>
  <si>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</si>
  <si>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</si>
  <si>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</si>
  <si>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</si>
  <si>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</si>
  <si>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</si>
  <si>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</si>
  <si>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</si>
  <si>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</si>
  <si>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</si>
  <si>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</si>
  <si>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</si>
  <si>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</si>
  <si>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</si>
  <si>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</si>
  <si>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</si>
  <si>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</si>
  <si>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</si>
  <si>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</si>
  <si>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</si>
  <si>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</si>
  <si>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</si>
  <si>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</si>
  <si>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</si>
  <si>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</si>
  <si>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</si>
  <si>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</si>
  <si>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</si>
  <si>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</si>
  <si>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</si>
  <si>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</si>
  <si>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</si>
  <si>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</si>
  <si>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</si>
  <si>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</si>
  <si>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</si>
  <si>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</si>
  <si>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</si>
  <si>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</si>
  <si>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</si>
  <si>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</si>
  <si>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</si>
  <si>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</si>
  <si>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</si>
  <si>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</si>
  <si>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</si>
  <si>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</si>
  <si>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</si>
  <si>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</si>
  <si>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</si>
  <si>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</si>
  <si>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</si>
  <si>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</si>
  <si>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</si>
  <si>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</si>
  <si>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</si>
  <si>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</si>
  <si>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</si>
  <si>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</si>
  <si>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</si>
  <si>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</si>
  <si>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</si>
  <si>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</si>
  <si>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</si>
  <si>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</si>
  <si>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</si>
  <si>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</si>
  <si>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</si>
  <si>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</si>
  <si>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</si>
  <si>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</si>
  <si>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</si>
  <si>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</si>
  <si>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</si>
  <si>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</si>
  <si>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</si>
  <si>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</si>
  <si>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</si>
  <si>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</si>
  <si>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</si>
  <si>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</si>
  <si>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</si>
  <si>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</si>
  <si>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</si>
  <si>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</si>
  <si>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</si>
  <si>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</si>
  <si>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</si>
  <si>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</si>
  <si>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</si>
  <si>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</si>
  <si>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</si>
  <si>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</si>
  <si>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</si>
  <si>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</si>
  <si>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</si>
  <si>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</si>
  <si>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</si>
  <si>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</si>
  <si>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</si>
  <si>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</si>
  <si>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</si>
  <si>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</si>
  <si>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</si>
  <si>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</si>
  <si>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</si>
  <si>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</si>
  <si>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</si>
  <si>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</si>
  <si>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</si>
  <si>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</si>
  <si>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</si>
  <si>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</si>
  <si>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</si>
  <si>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</si>
  <si>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</si>
  <si>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</si>
  <si>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</si>
  <si>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</si>
  <si>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</si>
  <si>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</si>
  <si>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</si>
  <si>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</si>
  <si>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</si>
  <si>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</si>
  <si>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</si>
  <si>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</si>
  <si>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</si>
  <si>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</si>
  <si>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</si>
  <si>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</si>
  <si>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</si>
  <si>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</si>
  <si>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</si>
  <si>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</si>
  <si>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</si>
  <si>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</si>
  <si>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</si>
  <si>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</si>
  <si>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</si>
  <si>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</si>
  <si>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</si>
  <si>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</si>
  <si>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</si>
  <si>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</si>
  <si>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</si>
  <si>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</si>
  <si>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</si>
  <si>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</si>
  <si>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</si>
  <si>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</si>
  <si>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</si>
  <si>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</si>
  <si>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</si>
  <si>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</si>
  <si>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</si>
  <si>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</si>
  <si>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</si>
  <si>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</si>
  <si>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</si>
  <si>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</si>
  <si>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</si>
  <si>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</si>
  <si>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</si>
  <si>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</si>
  <si>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</si>
  <si>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</si>
  <si>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</si>
  <si>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</si>
  <si>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</si>
  <si>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</si>
  <si>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</si>
  <si>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</si>
  <si>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</si>
  <si>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</si>
  <si>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</si>
  <si>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</si>
  <si>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</si>
  <si>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</si>
  <si>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</si>
  <si>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</si>
  <si>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</si>
  <si>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</si>
  <si>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</si>
  <si>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</si>
  <si>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</si>
  <si>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</si>
  <si>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</si>
  <si>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</si>
  <si>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</si>
  <si>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</si>
  <si>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</si>
  <si>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</si>
  <si>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</si>
  <si>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</si>
  <si>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</si>
  <si>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</si>
  <si>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</si>
  <si>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</si>
  <si>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</si>
  <si>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</si>
  <si>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</si>
  <si>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</si>
  <si>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</si>
  <si>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</si>
  <si>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</si>
  <si>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</si>
  <si>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</si>
  <si>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</si>
  <si>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</si>
  <si>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</si>
  <si>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</si>
  <si>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</si>
  <si>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</si>
  <si>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</si>
  <si>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</si>
  <si>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</si>
  <si>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</si>
  <si>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</si>
  <si>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</si>
  <si>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</si>
  <si>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</si>
  <si>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</si>
  <si>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</si>
  <si>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</si>
  <si>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</si>
  <si>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</si>
  <si>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</si>
  <si>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</si>
  <si>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</si>
  <si>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</si>
  <si>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</si>
  <si>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</si>
  <si>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</si>
  <si>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</si>
  <si>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</si>
  <si>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</si>
  <si>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</si>
  <si>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</si>
  <si>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</si>
  <si>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</si>
  <si>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</si>
  <si>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</si>
  <si>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</si>
  <si>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</si>
  <si>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</si>
  <si>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</si>
  <si>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</si>
  <si>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</si>
  <si>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</si>
  <si>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</si>
  <si>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</si>
  <si>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</si>
  <si>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</si>
  <si>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</si>
  <si>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</si>
  <si>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</si>
  <si>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</si>
  <si>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</si>
  <si>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</si>
  <si>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</si>
  <si>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</si>
  <si>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</si>
  <si>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</si>
  <si>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</si>
  <si>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</si>
  <si>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</si>
  <si>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</si>
  <si>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</si>
  <si>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</si>
  <si>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</si>
  <si>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</si>
  <si>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</si>
  <si>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</si>
  <si>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</si>
  <si>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</si>
  <si>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</si>
  <si>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</si>
  <si>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</si>
  <si>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</si>
  <si>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</si>
  <si>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</si>
  <si>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</si>
  <si>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</si>
  <si>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</si>
  <si>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</si>
  <si>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</si>
  <si>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</si>
  <si>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</si>
  <si>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</si>
  <si>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</si>
  <si>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</si>
  <si>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</si>
  <si>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</si>
  <si>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</si>
  <si>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</si>
  <si>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</si>
  <si>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</si>
  <si>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</si>
  <si>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</si>
  <si>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</si>
  <si>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</si>
  <si>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</si>
  <si>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</si>
  <si>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</si>
  <si>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</si>
  <si>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</si>
  <si>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</si>
  <si>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</si>
  <si>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</si>
  <si>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</si>
  <si>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</si>
  <si>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</si>
  <si>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</si>
  <si>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</si>
  <si>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</si>
  <si>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</si>
  <si>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</si>
  <si>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</si>
  <si>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</si>
  <si>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</si>
  <si>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</si>
  <si>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</si>
  <si>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</si>
  <si>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</si>
  <si>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</si>
  <si>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</si>
  <si>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</si>
  <si>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</si>
  <si>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</si>
  <si>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</si>
  <si>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</si>
  <si>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</si>
  <si>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</si>
  <si>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</si>
  <si>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</si>
  <si>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</si>
  <si>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</si>
  <si>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</si>
  <si>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</si>
  <si>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</si>
  <si>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</si>
  <si>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</si>
  <si>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</si>
  <si>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</si>
  <si>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</si>
  <si>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</si>
  <si>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</si>
  <si>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</si>
  <si>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</si>
  <si>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</si>
  <si>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</si>
  <si>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</si>
  <si>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</si>
  <si>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</si>
  <si>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</si>
  <si>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</si>
  <si>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</si>
  <si>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</si>
  <si>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</si>
  <si>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</si>
  <si>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</si>
  <si>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</si>
  <si>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</si>
  <si>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</si>
  <si>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</si>
  <si>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</si>
  <si>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</si>
  <si>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</si>
  <si>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</si>
  <si>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</si>
  <si>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</si>
  <si>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</si>
  <si>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</si>
  <si>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</si>
  <si>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</si>
  <si>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</si>
  <si>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</si>
  <si>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</si>
  <si>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</si>
  <si>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</si>
  <si>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</si>
  <si>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</si>
  <si>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</si>
  <si>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</si>
  <si>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</si>
  <si>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</si>
  <si>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</si>
  <si>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</si>
  <si>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</si>
  <si>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</si>
  <si>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</si>
  <si>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</si>
  <si>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</si>
  <si>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</si>
  <si>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</si>
  <si>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</si>
  <si>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</si>
  <si>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</si>
  <si>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</si>
  <si>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</si>
  <si>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</si>
  <si>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</si>
  <si>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</si>
  <si>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</si>
  <si>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</si>
  <si>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</si>
  <si>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</si>
  <si>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</si>
  <si>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</si>
  <si>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</si>
  <si>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</si>
  <si>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</si>
  <si>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</si>
  <si>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</si>
  <si>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</si>
  <si>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</si>
  <si>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</si>
  <si>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</si>
  <si>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</si>
  <si>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</si>
  <si>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</si>
  <si>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</si>
  <si>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</si>
  <si>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</si>
  <si>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</si>
  <si>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</si>
  <si>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</si>
  <si>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</si>
  <si>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</si>
  <si>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</si>
  <si>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</si>
  <si>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</si>
  <si>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</si>
  <si>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</si>
  <si>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</si>
  <si>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</si>
  <si>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</si>
  <si>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</si>
  <si>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</si>
  <si>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</si>
  <si>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</si>
  <si>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</si>
  <si>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</si>
  <si>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</si>
  <si>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</si>
  <si>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</si>
  <si>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</si>
  <si>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</si>
  <si>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</si>
  <si>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</si>
  <si>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</si>
  <si>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</si>
  <si>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</si>
  <si>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</si>
  <si>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</si>
  <si>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</si>
  <si>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</si>
  <si>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</si>
  <si>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</si>
  <si>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</si>
  <si>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</si>
  <si>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</si>
  <si>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</si>
  <si>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</si>
  <si>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</si>
  <si>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</si>
  <si>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</si>
  <si>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</si>
  <si>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</si>
  <si>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</si>
  <si>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</si>
  <si>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</si>
  <si>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</si>
  <si>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</si>
  <si>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</si>
  <si>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</si>
  <si>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</si>
  <si>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</si>
  <si>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</si>
  <si>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</si>
  <si>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</si>
  <si>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</si>
  <si>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</si>
  <si>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</si>
  <si>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</si>
  <si>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</si>
  <si>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</si>
  <si>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</si>
  <si>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</si>
  <si>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</si>
  <si>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</si>
  <si>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</si>
  <si>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</si>
  <si>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</si>
  <si>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</si>
  <si>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</si>
  <si>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</si>
  <si>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</si>
  <si>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</si>
  <si>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</si>
  <si>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</si>
  <si>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</si>
  <si>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</si>
  <si>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</si>
  <si>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</si>
  <si>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</si>
  <si>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</si>
  <si>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</si>
  <si>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</si>
  <si>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</si>
  <si>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</si>
  <si>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</si>
  <si>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</si>
  <si>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</si>
  <si>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</si>
  <si>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</si>
  <si>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</si>
  <si>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</si>
  <si>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</si>
  <si>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</si>
  <si>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</si>
  <si>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</si>
  <si>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</si>
  <si>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</si>
  <si>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</si>
  <si>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</si>
  <si>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</si>
  <si>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</si>
  <si>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</si>
  <si>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</si>
  <si>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</si>
  <si>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</si>
  <si>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</si>
  <si>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</si>
  <si>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</si>
  <si>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</si>
  <si>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</si>
  <si>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</si>
  <si>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</si>
  <si>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</si>
  <si>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</si>
  <si>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</si>
  <si>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</si>
  <si>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</si>
  <si>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</si>
  <si>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</si>
  <si>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</si>
  <si>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</si>
  <si>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</si>
  <si>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</si>
  <si>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</si>
  <si>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</si>
  <si>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</si>
  <si>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</si>
  <si>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</si>
  <si>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</si>
  <si>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</si>
  <si>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</si>
  <si>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</si>
  <si>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</si>
  <si>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</si>
  <si>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</si>
  <si>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</si>
  <si>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</si>
  <si>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</si>
  <si>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</si>
  <si>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</si>
  <si>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</si>
  <si>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</si>
  <si>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</si>
  <si>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</si>
  <si>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</si>
  <si>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</si>
  <si>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</si>
  <si>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</si>
  <si>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</si>
  <si>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</si>
  <si>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</si>
  <si>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</si>
  <si>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</si>
  <si>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</si>
  <si>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</si>
  <si>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</si>
  <si>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</si>
  <si>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</si>
  <si>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</si>
  <si>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</si>
  <si>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</si>
  <si>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</si>
  <si>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</si>
  <si>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</si>
  <si>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</si>
  <si>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</si>
  <si>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</si>
  <si>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</si>
  <si>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</si>
  <si>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</si>
  <si>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</si>
  <si>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</si>
  <si>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</si>
  <si>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</si>
  <si>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</si>
  <si>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</si>
  <si>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</si>
  <si>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</si>
  <si>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</si>
  <si>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</si>
  <si>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</si>
  <si>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</si>
  <si>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</si>
  <si>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</si>
  <si>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</si>
  <si>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</si>
  <si>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</si>
  <si>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</si>
  <si>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</si>
  <si>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</si>
  <si>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</si>
  <si>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</si>
  <si>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</si>
  <si>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</si>
  <si>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</si>
  <si>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</si>
  <si>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</si>
  <si>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</si>
  <si>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</si>
  <si>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</si>
  <si>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</si>
  <si>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</si>
  <si>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</si>
  <si>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</si>
  <si>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</si>
  <si>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</si>
  <si>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</si>
  <si>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</si>
  <si>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</si>
  <si>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</si>
  <si>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</si>
  <si>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</si>
  <si>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</si>
  <si>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</si>
  <si>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</si>
  <si>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</si>
  <si>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</si>
  <si>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</si>
  <si>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</si>
  <si>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</si>
  <si>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</si>
  <si>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</si>
  <si>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</si>
  <si>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</si>
  <si>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</si>
  <si>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</si>
  <si>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</si>
  <si>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</si>
  <si>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</si>
  <si>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</si>
  <si>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</si>
  <si>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</si>
  <si>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</si>
  <si>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</si>
  <si>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</si>
  <si>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</si>
  <si>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</si>
  <si>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</si>
  <si>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</si>
  <si>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</si>
  <si>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</si>
  <si>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</si>
  <si>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</si>
  <si>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</si>
  <si>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</si>
  <si>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</si>
  <si>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</si>
  <si>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</si>
  <si>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</si>
  <si>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</si>
  <si>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</si>
  <si>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</si>
  <si>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</si>
  <si>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</si>
  <si>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</si>
  <si>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</si>
  <si>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</si>
  <si>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</si>
  <si>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</si>
  <si>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</si>
  <si>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</si>
  <si>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</si>
  <si>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</si>
  <si>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</si>
  <si>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</si>
  <si>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</si>
  <si>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</si>
  <si>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</si>
  <si>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</si>
  <si>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</si>
  <si>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</si>
  <si>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</si>
  <si>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</si>
  <si>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</si>
  <si>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</si>
  <si>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</si>
  <si>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</si>
  <si>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</si>
  <si>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</si>
  <si>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</si>
  <si>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</si>
  <si>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</si>
  <si>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</si>
  <si>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</si>
  <si>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</si>
  <si>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</si>
  <si>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</si>
  <si>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</si>
  <si>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</si>
  <si>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</si>
  <si>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</si>
  <si>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</si>
  <si>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</si>
  <si>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</si>
  <si>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</si>
  <si>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</si>
  <si>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</si>
  <si>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</si>
  <si>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</si>
  <si>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</si>
  <si>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</si>
  <si>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</si>
  <si>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</si>
  <si>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</si>
  <si>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</si>
  <si>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</si>
  <si>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</si>
  <si>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</si>
  <si>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</si>
  <si>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</si>
  <si>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</si>
  <si>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</si>
  <si>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</si>
  <si>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</si>
  <si>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</si>
  <si>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</si>
  <si>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</si>
  <si>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</si>
  <si>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</si>
  <si>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</si>
  <si>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</si>
  <si>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</si>
  <si>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</si>
  <si>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</si>
  <si>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</si>
  <si>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</si>
  <si>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</si>
  <si>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</si>
  <si>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</si>
  <si>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</si>
  <si>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</si>
  <si>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</si>
  <si>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</si>
  <si>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</si>
  <si>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</si>
  <si>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</si>
  <si>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</si>
  <si>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</si>
  <si>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</si>
  <si>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</si>
  <si>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</si>
  <si>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</si>
  <si>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</si>
  <si>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</si>
  <si>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</si>
  <si>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</si>
  <si>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</si>
  <si>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</si>
  <si>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</si>
  <si>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</si>
  <si>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</si>
  <si>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</si>
  <si>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</si>
  <si>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</si>
  <si>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</si>
  <si>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</si>
  <si>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</si>
  <si>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</si>
  <si>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</si>
  <si>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</si>
  <si>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</si>
  <si>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</si>
  <si>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</si>
  <si>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</si>
  <si>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</si>
  <si>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</si>
  <si>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</si>
  <si>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</si>
  <si>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</si>
  <si>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</si>
  <si>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</si>
  <si>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</si>
  <si>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</si>
  <si>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</si>
  <si>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</si>
  <si>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</si>
  <si>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</si>
  <si>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</si>
  <si>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</si>
  <si>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</si>
  <si>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</si>
  <si>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</si>
  <si>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</si>
  <si>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</si>
  <si>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</si>
  <si>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</si>
  <si>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</si>
  <si>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</si>
  <si>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</si>
  <si>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</si>
  <si>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</si>
  <si>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</si>
  <si>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</si>
  <si>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</si>
  <si>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</si>
  <si>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</si>
  <si>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</si>
  <si>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</si>
  <si>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</si>
  <si>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</si>
  <si>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</si>
  <si>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</si>
  <si>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</si>
  <si>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</si>
  <si>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</si>
  <si>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</si>
  <si>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</si>
  <si>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</si>
  <si>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</si>
  <si>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</si>
  <si>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</si>
  <si>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</si>
  <si>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</si>
  <si>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</si>
  <si>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</si>
  <si>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</si>
  <si>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</si>
  <si>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</si>
  <si>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</si>
  <si>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</si>
  <si>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</si>
  <si>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</si>
  <si>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</si>
  <si>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</si>
  <si>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</si>
  <si>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</si>
  <si>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</si>
  <si>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</si>
  <si>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</si>
  <si>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</si>
  <si>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</si>
  <si>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</si>
  <si>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</si>
  <si>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</si>
  <si>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</si>
  <si>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</si>
  <si>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</si>
  <si>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</si>
  <si>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</si>
  <si>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</si>
  <si>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</si>
  <si>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</si>
  <si>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</si>
  <si>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</si>
  <si>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</si>
  <si>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</si>
  <si>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</si>
  <si>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</si>
  <si>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</si>
  <si>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</si>
  <si>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</si>
  <si>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</si>
  <si>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</si>
  <si>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</si>
  <si>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</si>
  <si>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</si>
  <si>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</si>
  <si>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</si>
  <si>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</si>
  <si>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</si>
  <si>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</si>
  <si>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</si>
  <si>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</si>
  <si>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</si>
  <si>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</si>
  <si>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</si>
  <si>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</si>
  <si>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</si>
  <si>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</si>
  <si>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</si>
  <si>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</si>
  <si>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</si>
  <si>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</si>
  <si>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</si>
  <si>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</si>
  <si>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</si>
  <si>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</si>
  <si>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</si>
  <si>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</si>
  <si>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</si>
  <si>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</si>
  <si>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</si>
  <si>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</si>
  <si>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</si>
  <si>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</si>
  <si>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</si>
  <si>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</si>
  <si>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</si>
  <si>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</si>
  <si>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</si>
  <si>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</si>
  <si>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</si>
  <si>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</si>
  <si>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</si>
  <si>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</si>
  <si>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</si>
  <si>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</si>
  <si>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</si>
  <si>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</si>
  <si>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</si>
  <si>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</si>
  <si>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</si>
  <si>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</si>
  <si>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</si>
  <si>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</si>
  <si>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</si>
  <si>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</si>
  <si>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</si>
  <si>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</si>
  <si>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</si>
  <si>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</si>
  <si>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</si>
  <si>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</si>
  <si>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</si>
  <si>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</si>
  <si>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</si>
  <si>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</si>
  <si>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</si>
  <si>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</si>
  <si>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</si>
  <si>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</si>
  <si>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</si>
  <si>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</si>
  <si>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</si>
  <si>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</si>
  <si>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</si>
  <si>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</si>
  <si>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</si>
  <si>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</si>
  <si>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</si>
  <si>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</si>
  <si>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</si>
  <si>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</si>
  <si>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</si>
  <si>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</si>
  <si>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</si>
  <si>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</si>
  <si>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</si>
  <si>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</si>
  <si>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</si>
  <si>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</si>
  <si>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</si>
  <si>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</si>
  <si>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</si>
  <si>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</si>
  <si>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</si>
  <si>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</si>
  <si>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</si>
  <si>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</si>
  <si>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</si>
  <si>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</si>
  <si>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</si>
  <si>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</si>
  <si>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</si>
  <si>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</si>
  <si>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</si>
  <si>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</si>
  <si>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</si>
  <si>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</si>
  <si>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</si>
  <si>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</si>
  <si>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</si>
  <si>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</si>
  <si>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</si>
  <si>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</si>
  <si>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</si>
  <si>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</si>
  <si>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</si>
  <si>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</si>
  <si>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</si>
  <si>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</si>
  <si>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</si>
  <si>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</si>
  <si>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</si>
  <si>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</si>
  <si>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</si>
  <si>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</si>
  <si>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</si>
  <si>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</si>
  <si>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</si>
  <si>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</si>
  <si>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</si>
  <si>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</si>
  <si>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</si>
  <si>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</si>
  <si>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</si>
  <si>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</si>
  <si>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</si>
  <si>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</si>
  <si>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</si>
  <si>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</si>
  <si>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</si>
  <si>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</si>
  <si>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</si>
  <si>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</si>
  <si>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</si>
  <si>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</si>
  <si>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</si>
  <si>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</si>
  <si>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</si>
  <si>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</si>
  <si>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</si>
  <si>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</si>
  <si>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</si>
  <si>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</si>
  <si>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</si>
  <si>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</si>
  <si>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</si>
  <si>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</si>
  <si>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</si>
  <si>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</si>
  <si>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</si>
  <si>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</si>
  <si>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</si>
  <si>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</si>
  <si>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</si>
  <si>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</si>
  <si>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</si>
  <si>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</si>
  <si>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</si>
  <si>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</si>
  <si>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</si>
  <si>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</si>
  <si>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</si>
  <si>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</si>
  <si>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</si>
  <si>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</si>
  <si>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</si>
  <si>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</si>
  <si>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</si>
  <si>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</si>
  <si>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</si>
  <si>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</si>
  <si>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</si>
  <si>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</si>
  <si>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</si>
  <si>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</si>
  <si>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</si>
  <si>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</si>
  <si>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</si>
  <si>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</si>
  <si>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</si>
  <si>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</si>
  <si>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</si>
  <si>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</si>
  <si>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</si>
  <si>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</si>
  <si>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</si>
  <si>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</si>
  <si>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</si>
  <si>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</si>
  <si>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</si>
  <si>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</si>
  <si>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</si>
  <si>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</si>
  <si>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</si>
  <si>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</si>
  <si>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</si>
  <si>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</si>
  <si>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</si>
  <si>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</si>
  <si>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</si>
  <si>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</si>
  <si>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</si>
  <si>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</si>
  <si>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</si>
  <si>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</si>
  <si>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</si>
  <si>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</si>
  <si>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</si>
  <si>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</si>
  <si>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</si>
  <si>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</si>
  <si>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</si>
  <si>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</si>
  <si>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</si>
  <si>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</si>
  <si>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</si>
  <si>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</si>
  <si>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</si>
  <si>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</si>
  <si>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</si>
  <si>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</si>
  <si>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</si>
  <si>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</si>
  <si>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</si>
  <si>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</si>
  <si>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</si>
  <si>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</si>
  <si>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</si>
  <si>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</si>
  <si>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</si>
  <si>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</si>
  <si>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</si>
  <si>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</si>
  <si>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</si>
  <si>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</si>
  <si>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</si>
  <si>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</si>
  <si>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</si>
  <si>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</si>
  <si>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</si>
  <si>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</si>
  <si>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</si>
  <si>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</si>
  <si>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</si>
  <si>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</si>
  <si>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</si>
  <si>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</si>
  <si>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</si>
  <si>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</si>
  <si>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</si>
  <si>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</si>
  <si>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</si>
  <si>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</si>
  <si>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</si>
  <si>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</si>
  <si>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</si>
  <si>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</si>
  <si>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</si>
  <si>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</si>
  <si>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</si>
  <si>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</si>
  <si>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</si>
  <si>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</si>
  <si>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</si>
  <si>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</si>
  <si>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</si>
  <si>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</si>
  <si>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</si>
  <si>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</si>
  <si>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</si>
  <si>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</si>
  <si>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</si>
  <si>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</si>
  <si>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</si>
  <si>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</si>
  <si>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</si>
  <si>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</si>
  <si>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</si>
  <si>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</si>
  <si>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</si>
  <si>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</si>
  <si>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</si>
  <si>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</si>
  <si>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</si>
  <si>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</si>
  <si>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</si>
  <si>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</si>
  <si>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</si>
  <si>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</si>
  <si>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</si>
  <si>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</si>
  <si>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</si>
  <si>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</si>
  <si>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</si>
  <si>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</si>
  <si>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</si>
  <si>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</si>
  <si>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</si>
  <si>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</si>
  <si>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</si>
  <si>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</si>
  <si>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</si>
  <si>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</si>
  <si>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</si>
  <si>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</si>
  <si>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</si>
  <si>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</si>
  <si>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</si>
  <si>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</si>
  <si>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</si>
  <si>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</si>
  <si>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</si>
  <si>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</si>
  <si>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</si>
  <si>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</si>
  <si>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</si>
  <si>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</si>
  <si>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</si>
  <si>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</si>
  <si>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</si>
  <si>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</si>
  <si>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</si>
  <si>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</si>
  <si>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</si>
  <si>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</si>
  <si>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</si>
  <si>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</si>
  <si>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</si>
  <si>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</si>
  <si>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</si>
  <si>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</si>
  <si>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</si>
  <si>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</si>
  <si>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</si>
  <si>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</si>
  <si>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</si>
  <si>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</si>
  <si>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</si>
  <si>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</si>
  <si>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</si>
  <si>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</si>
  <si>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</si>
  <si>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</si>
  <si>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</si>
  <si>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</si>
  <si>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</si>
  <si>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</si>
  <si>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</si>
  <si>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</si>
  <si>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</si>
  <si>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</si>
  <si>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</si>
  <si>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</si>
  <si>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</si>
  <si>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</si>
  <si>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</si>
  <si>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</si>
  <si>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</si>
  <si>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</si>
  <si>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</si>
  <si>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</si>
  <si>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</si>
  <si>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</si>
  <si>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</si>
  <si>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</si>
  <si>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</si>
  <si>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</si>
  <si>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</si>
  <si>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</si>
  <si>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</si>
  <si>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</si>
  <si>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</si>
  <si>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</si>
  <si>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</si>
  <si>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</si>
  <si>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</si>
  <si>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</si>
  <si>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</si>
  <si>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</si>
  <si>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</si>
  <si>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</si>
  <si>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</si>
  <si>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</si>
  <si>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</si>
  <si>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</si>
  <si>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</si>
  <si>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</si>
  <si>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</si>
  <si>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</si>
  <si>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</si>
  <si>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</si>
  <si>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</si>
  <si>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</si>
  <si>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</si>
  <si>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</si>
  <si>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</si>
  <si>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</si>
  <si>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</si>
  <si>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</si>
  <si>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</si>
  <si>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</si>
  <si>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</si>
  <si>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</si>
  <si>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</si>
  <si>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</si>
  <si>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</si>
  <si>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</si>
  <si>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</si>
  <si>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</si>
  <si>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</si>
  <si>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</si>
  <si>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</si>
  <si>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</si>
  <si>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</si>
  <si>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</si>
  <si>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</si>
  <si>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</si>
  <si>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</si>
  <si>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</si>
  <si>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</si>
  <si>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</si>
  <si>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</si>
  <si>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</si>
  <si>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</si>
  <si>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</si>
  <si>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</si>
  <si>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</si>
  <si>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</si>
  <si>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</si>
  <si>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</si>
  <si>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</si>
  <si>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</si>
  <si>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</si>
  <si>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</si>
  <si>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</si>
  <si>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</si>
  <si>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</si>
  <si>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</si>
  <si>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</si>
  <si>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</si>
  <si>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</si>
  <si>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</si>
  <si>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</si>
  <si>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</si>
  <si>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</si>
  <si>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</si>
  <si>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</si>
  <si>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</si>
  <si>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</si>
  <si>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</si>
  <si>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</si>
  <si>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</si>
  <si>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</si>
  <si>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</si>
  <si>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</si>
  <si>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</si>
  <si>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</si>
  <si>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</si>
  <si>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</si>
  <si>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</si>
  <si>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</si>
  <si>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</si>
  <si>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</si>
  <si>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</si>
  <si>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</si>
  <si>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</si>
  <si>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</si>
  <si>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</si>
  <si>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</si>
  <si>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</si>
  <si>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</si>
  <si>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</si>
  <si>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</si>
  <si>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</si>
  <si>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</si>
  <si>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</si>
  <si>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</si>
  <si>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</si>
  <si>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</si>
  <si>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</si>
  <si>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</si>
  <si>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</si>
  <si>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</si>
  <si>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</si>
  <si>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</si>
  <si>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</si>
  <si>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</si>
  <si>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</si>
  <si>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</si>
  <si>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</si>
  <si>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</si>
  <si>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</si>
  <si>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</si>
  <si>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</si>
  <si>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</si>
  <si>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</si>
  <si>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</si>
  <si>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</si>
  <si>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</si>
  <si>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</si>
  <si>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</si>
  <si>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</si>
  <si>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</si>
  <si>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</si>
  <si>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</si>
  <si>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</si>
  <si>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</si>
  <si>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</si>
  <si>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</si>
  <si>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</si>
  <si>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</si>
  <si>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</si>
  <si>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</si>
  <si>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</si>
  <si>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</si>
  <si>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</si>
  <si>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</si>
  <si>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</si>
  <si>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</si>
  <si>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</si>
  <si>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</si>
  <si>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</si>
  <si>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</si>
  <si>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</si>
  <si>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</si>
  <si>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</si>
  <si>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</si>
  <si>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</si>
  <si>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</si>
  <si>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</si>
  <si>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</si>
  <si>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</si>
  <si>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</si>
  <si>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</si>
  <si>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</si>
  <si>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</si>
  <si>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</si>
  <si>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</si>
  <si>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</si>
  <si>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</si>
  <si>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</si>
  <si>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</si>
  <si>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</si>
  <si>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</si>
  <si>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</si>
  <si>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</si>
  <si>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</si>
  <si>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</si>
  <si>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</si>
  <si>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</si>
  <si>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</si>
  <si>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</si>
  <si>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</si>
  <si>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</si>
  <si>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</si>
  <si>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</si>
  <si>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</si>
  <si>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</si>
  <si>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</si>
  <si>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</si>
  <si>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</si>
  <si>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</si>
  <si>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</si>
  <si>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</si>
  <si>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</si>
  <si>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</si>
  <si>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</si>
  <si>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</si>
  <si>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</si>
  <si>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</si>
  <si>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</si>
  <si>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</si>
  <si>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</si>
  <si>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</si>
  <si>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</si>
  <si>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</si>
  <si>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</si>
  <si>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</si>
  <si>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</si>
  <si>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</si>
  <si>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</si>
  <si>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</si>
  <si>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</si>
  <si>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</si>
  <si>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</si>
  <si>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</si>
  <si>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</si>
  <si>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</si>
  <si>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</si>
  <si>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</si>
  <si>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</si>
  <si>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</si>
  <si>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</si>
  <si>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</si>
  <si>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</si>
  <si>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</si>
  <si>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</si>
  <si>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</si>
  <si>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</si>
  <si>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</si>
  <si>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</si>
  <si>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</si>
  <si>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</si>
  <si>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</si>
  <si>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</si>
  <si>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</si>
  <si>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</si>
  <si>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</si>
  <si>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</si>
  <si>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</si>
  <si>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</si>
  <si>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</si>
  <si>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</si>
  <si>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</si>
  <si>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</si>
  <si>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</si>
  <si>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</si>
  <si>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</si>
  <si>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</si>
  <si>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</si>
  <si>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</si>
  <si>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</si>
  <si>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</si>
  <si>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</si>
  <si>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</si>
  <si>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</si>
  <si>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</si>
  <si>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</si>
  <si>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</si>
  <si>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</si>
  <si>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</si>
  <si>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</si>
  <si>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</si>
  <si>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</si>
  <si>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</si>
  <si>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</si>
  <si>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</si>
  <si>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</si>
  <si>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</si>
  <si>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</si>
  <si>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</si>
  <si>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</si>
  <si>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</si>
  <si>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</si>
  <si>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</si>
  <si>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</si>
  <si>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</si>
  <si>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</si>
  <si>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</si>
  <si>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</si>
  <si>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</si>
  <si>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</si>
  <si>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</si>
  <si>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</si>
  <si>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</si>
  <si>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</si>
  <si>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</si>
  <si>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</si>
  <si>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</si>
  <si>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</si>
  <si>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</si>
  <si>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</si>
  <si>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</si>
  <si>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</si>
  <si>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</si>
  <si>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</si>
  <si>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</si>
  <si>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</si>
  <si>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</si>
  <si>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</si>
  <si>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</si>
  <si>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</si>
  <si>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</si>
  <si>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</si>
  <si>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</si>
  <si>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</si>
  <si>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</si>
  <si>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</si>
  <si>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</si>
  <si>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</si>
  <si>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</si>
  <si>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</si>
  <si>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</si>
  <si>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</si>
  <si>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</si>
  <si>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</si>
  <si>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</si>
  <si>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</si>
  <si>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</si>
  <si>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</si>
  <si>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</si>
  <si>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</si>
  <si>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</si>
  <si>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</si>
  <si>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</si>
  <si>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</si>
  <si>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</si>
  <si>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</si>
  <si>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</si>
  <si>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</si>
  <si>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</si>
  <si>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</si>
  <si>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</si>
  <si>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</si>
  <si>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</si>
  <si>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</si>
  <si>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</si>
  <si>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</si>
  <si>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</si>
  <si>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</si>
  <si>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</si>
  <si>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</si>
  <si>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</si>
  <si>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</si>
  <si>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</si>
  <si>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</si>
  <si>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</si>
  <si>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</si>
  <si>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</si>
  <si>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</si>
  <si>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</si>
  <si>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</si>
  <si>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</si>
  <si>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</si>
  <si>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</si>
  <si>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</si>
  <si>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</si>
  <si>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</si>
  <si>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</si>
  <si>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</si>
  <si>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</si>
  <si>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</si>
  <si>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</si>
  <si>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</si>
  <si>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</si>
  <si>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</si>
  <si>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</si>
  <si>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</si>
  <si>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</si>
  <si>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</si>
  <si>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</si>
  <si>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</si>
  <si>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</si>
  <si>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</si>
  <si>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</si>
  <si>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</si>
  <si>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</si>
  <si>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</si>
  <si>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</si>
  <si>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</si>
  <si>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</si>
  <si>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</si>
  <si>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</si>
  <si>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</si>
  <si>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</si>
  <si>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</si>
  <si>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</si>
  <si>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</si>
  <si>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</si>
  <si>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</si>
  <si>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</si>
  <si>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</si>
  <si>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</si>
  <si>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</si>
  <si>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</si>
  <si>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</si>
  <si>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</si>
  <si>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</si>
  <si>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</si>
  <si>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</si>
  <si>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</si>
  <si>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</si>
  <si>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</si>
  <si>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</si>
  <si>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</si>
  <si>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</si>
  <si>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</si>
  <si>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</si>
  <si>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</si>
  <si>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</si>
  <si>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</si>
  <si>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</si>
  <si>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</si>
  <si>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</si>
  <si>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</si>
  <si>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</si>
  <si>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</si>
  <si>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</si>
  <si>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</si>
  <si>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</si>
  <si>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</si>
  <si>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</si>
  <si>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</si>
  <si>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</si>
  <si>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</si>
  <si>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</si>
  <si>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</si>
  <si>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</si>
  <si>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</si>
  <si>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</si>
  <si>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</si>
  <si>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</si>
  <si>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</si>
  <si>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</si>
  <si>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</si>
  <si>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</si>
  <si>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</si>
  <si>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</si>
  <si>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</si>
  <si>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</si>
  <si>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</si>
  <si>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</si>
  <si>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</si>
  <si>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</si>
  <si>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</si>
  <si>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</si>
  <si>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</si>
  <si>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</si>
  <si>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</si>
  <si>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</si>
  <si>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</si>
  <si>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</si>
  <si>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</si>
  <si>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</si>
  <si>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</si>
  <si>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</si>
  <si>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</si>
  <si>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</si>
  <si>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</si>
  <si>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</si>
  <si>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</si>
  <si>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</si>
  <si>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</si>
  <si>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</si>
  <si>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</si>
  <si>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</si>
  <si>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</si>
  <si>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</si>
  <si>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</si>
  <si>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</si>
  <si>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</si>
  <si>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</si>
  <si>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</si>
  <si>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</si>
  <si>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</si>
  <si>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</si>
  <si>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</si>
  <si>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</si>
  <si>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</si>
  <si>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</si>
  <si>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</si>
  <si>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</si>
  <si>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</si>
  <si>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</si>
  <si>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</si>
  <si>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</si>
  <si>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</si>
  <si>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</si>
  <si>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</si>
  <si>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</si>
  <si>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</si>
  <si>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</si>
  <si>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</si>
  <si>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</si>
  <si>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</si>
  <si>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</si>
  <si>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</si>
  <si>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</si>
  <si>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</si>
  <si>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</si>
  <si>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</si>
  <si>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</si>
  <si>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</si>
  <si>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</si>
  <si>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</si>
  <si>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</si>
  <si>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</si>
  <si>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</si>
  <si>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</si>
  <si>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</si>
  <si>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</si>
  <si>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</si>
  <si>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</si>
  <si>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</si>
  <si>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</si>
  <si>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</si>
  <si>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</si>
  <si>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</si>
  <si>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</si>
  <si>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</si>
  <si>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</si>
  <si>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</si>
  <si>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</si>
  <si>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</si>
  <si>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</si>
  <si>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</si>
  <si>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</si>
  <si>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</si>
  <si>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</si>
  <si>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</si>
  <si>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</si>
  <si>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</si>
  <si>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</si>
  <si>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</si>
  <si>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</si>
  <si>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</si>
  <si>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</si>
  <si>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</si>
  <si>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</si>
  <si>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</si>
  <si>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</si>
  <si>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</si>
  <si>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</si>
  <si>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</si>
  <si>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</si>
  <si>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</si>
  <si>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</si>
  <si>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</si>
  <si>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</si>
  <si>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</si>
  <si>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</si>
  <si>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</si>
  <si>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</si>
  <si>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</si>
  <si>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</si>
  <si>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</si>
  <si>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</si>
  <si>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</si>
  <si>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</si>
  <si>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</si>
  <si>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</si>
  <si>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</si>
  <si>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</si>
  <si>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</si>
  <si>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</si>
  <si>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</si>
  <si>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</si>
  <si>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</si>
  <si>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</si>
  <si>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</si>
  <si>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</si>
  <si>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</si>
  <si>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</si>
  <si>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</si>
  <si>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</si>
  <si>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</si>
  <si>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</si>
  <si>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</si>
  <si>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</si>
  <si>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</si>
  <si>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</si>
  <si>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</si>
  <si>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</si>
  <si>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</si>
  <si>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</si>
  <si>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</si>
  <si>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</si>
  <si>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</si>
  <si>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</si>
  <si>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</si>
  <si>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</si>
  <si>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</si>
  <si>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</si>
  <si>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</si>
  <si>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</si>
  <si>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</si>
  <si>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</si>
  <si>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</si>
  <si>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</si>
  <si>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</si>
  <si>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</si>
  <si>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</si>
  <si>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</si>
  <si>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</si>
  <si>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</si>
  <si>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</si>
  <si>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</si>
  <si>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</si>
  <si>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</si>
  <si>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</si>
  <si>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</si>
  <si>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</si>
  <si>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</si>
  <si>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</si>
  <si>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</si>
  <si>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</si>
  <si>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</si>
  <si>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</si>
  <si>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</si>
  <si>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</si>
  <si>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</si>
  <si>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</si>
  <si>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</si>
  <si>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</si>
  <si>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</si>
  <si>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</si>
  <si>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</si>
  <si>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</si>
  <si>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</si>
  <si>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</si>
  <si>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</si>
  <si>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</si>
  <si>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</si>
  <si>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</si>
  <si>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</si>
  <si>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</si>
  <si>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</si>
  <si>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</si>
  <si>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</si>
  <si>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</si>
  <si>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</si>
  <si>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</si>
  <si>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</si>
  <si>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</si>
  <si>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</si>
  <si>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</si>
  <si>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</si>
  <si>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</si>
  <si>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</si>
  <si>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</si>
  <si>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</si>
  <si>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</si>
  <si>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</si>
  <si>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</si>
  <si>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</si>
  <si>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</si>
  <si>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</si>
  <si>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</si>
  <si>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</si>
  <si>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</si>
  <si>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</si>
  <si>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</si>
  <si>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</si>
  <si>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</si>
  <si>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</si>
  <si>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</si>
  <si>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</si>
  <si>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</si>
  <si>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</si>
  <si>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</si>
  <si>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</si>
  <si>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</si>
  <si>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</si>
  <si>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</si>
  <si>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</si>
  <si>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</si>
  <si>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</si>
  <si>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</si>
  <si>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</si>
  <si>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</si>
  <si>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</si>
  <si>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</si>
  <si>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</si>
  <si>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</si>
  <si>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</si>
  <si>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</si>
  <si>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</si>
  <si>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</si>
  <si>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</si>
  <si>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</si>
  <si>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</si>
  <si>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</si>
  <si>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</si>
  <si>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</si>
  <si>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</si>
  <si>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</si>
  <si>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</si>
  <si>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</si>
  <si>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</si>
  <si>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</si>
  <si>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</si>
  <si>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</si>
  <si>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</si>
  <si>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</si>
  <si>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</si>
  <si>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</si>
  <si>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</si>
  <si>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</si>
  <si>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</si>
  <si>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</si>
  <si>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</si>
  <si>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</si>
  <si>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</si>
  <si>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</si>
  <si>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</si>
  <si>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</si>
  <si>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</si>
  <si>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</si>
  <si>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</si>
  <si>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</si>
  <si>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</si>
  <si>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</si>
  <si>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</si>
  <si>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</si>
  <si>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</si>
  <si>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</si>
  <si>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</si>
  <si>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</si>
  <si>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</si>
  <si>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</si>
  <si>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</si>
  <si>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</si>
  <si>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</si>
  <si>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</si>
  <si>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</si>
  <si>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</si>
  <si>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</si>
  <si>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</si>
  <si>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</si>
  <si>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</si>
  <si>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</si>
  <si>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</si>
  <si>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</si>
  <si>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</si>
  <si>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</si>
  <si>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</si>
  <si>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</si>
  <si>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</si>
  <si>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</si>
  <si>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</si>
  <si>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</si>
  <si>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</si>
  <si>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</si>
  <si>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</si>
  <si>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</si>
  <si>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</si>
  <si>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</si>
  <si>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</si>
  <si>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</si>
  <si>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</si>
  <si>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</si>
  <si>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</si>
  <si>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</si>
  <si>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</si>
  <si>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</si>
  <si>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</si>
  <si>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</si>
  <si>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</si>
  <si>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</si>
  <si>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</si>
  <si>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</si>
  <si>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</si>
  <si>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</si>
  <si>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</si>
  <si>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</si>
  <si>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</si>
  <si>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</si>
  <si>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</si>
  <si>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</si>
  <si>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</si>
  <si>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</si>
  <si>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</si>
  <si>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</si>
  <si>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</si>
  <si>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</si>
  <si>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</si>
  <si>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</si>
  <si>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</si>
  <si>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</si>
  <si>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</si>
  <si>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</si>
  <si>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</si>
  <si>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</si>
  <si>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</si>
  <si>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</si>
  <si>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</si>
  <si>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</si>
  <si>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</si>
  <si>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</si>
  <si>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</si>
  <si>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</si>
  <si>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</si>
  <si>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</si>
  <si>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</si>
  <si>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</si>
  <si>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</si>
  <si>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</si>
  <si>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</si>
  <si>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</si>
  <si>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</si>
  <si>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</si>
  <si>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</si>
  <si>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</si>
  <si>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</si>
  <si>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</si>
  <si>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</si>
  <si>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</si>
  <si>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</si>
  <si>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</si>
  <si>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</si>
  <si>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</si>
  <si>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</si>
  <si>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</si>
  <si>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</si>
  <si>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</si>
  <si>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</si>
  <si>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</si>
  <si>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</si>
  <si>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</si>
  <si>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</si>
  <si>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</si>
  <si>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</si>
  <si>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</si>
  <si>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</si>
  <si>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</si>
  <si>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</si>
  <si>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</si>
  <si>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</si>
  <si>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</si>
  <si>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</si>
  <si>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</si>
  <si>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</si>
  <si>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</si>
  <si>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</si>
  <si>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</si>
  <si>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</si>
  <si>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</si>
  <si>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</si>
  <si>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</si>
  <si>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</si>
  <si>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</si>
  <si>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</si>
  <si>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</si>
  <si>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</si>
  <si>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</si>
  <si>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</si>
  <si>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</si>
  <si>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</si>
  <si>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</si>
  <si>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</si>
  <si>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</si>
  <si>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</si>
  <si>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</si>
  <si>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</si>
  <si>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</si>
  <si>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</si>
  <si>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</si>
  <si>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</si>
  <si>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</si>
  <si>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</si>
  <si>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</si>
  <si>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</si>
  <si>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</si>
  <si>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</si>
  <si>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</si>
  <si>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</si>
  <si>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</si>
  <si>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</si>
  <si>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</si>
  <si>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</si>
  <si>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</si>
  <si>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</si>
  <si>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</si>
  <si>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</si>
  <si>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</si>
  <si>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</si>
  <si>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</si>
  <si>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</si>
  <si>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</si>
  <si>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</si>
  <si>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</si>
  <si>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</si>
  <si>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</si>
  <si>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</si>
  <si>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</si>
  <si>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</si>
  <si>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</si>
  <si>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</si>
  <si>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</si>
  <si>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</si>
  <si>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</si>
  <si>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</si>
  <si>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</si>
  <si>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</si>
  <si>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</si>
  <si>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</si>
  <si>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</si>
  <si>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</si>
  <si>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</si>
  <si>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</si>
  <si>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</si>
  <si>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</si>
  <si>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</si>
  <si>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</si>
  <si>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</si>
  <si>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</si>
  <si>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</si>
  <si>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</si>
  <si>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</si>
  <si>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</si>
  <si>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</si>
  <si>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</si>
  <si>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</si>
  <si>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</si>
  <si>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</si>
  <si>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</si>
  <si>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</si>
  <si>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</si>
  <si>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</si>
  <si>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</si>
  <si>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</si>
  <si>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</si>
  <si>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</si>
  <si>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</si>
  <si>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</si>
  <si>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</si>
  <si>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</si>
  <si>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</si>
  <si>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</si>
  <si>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</si>
  <si>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</si>
  <si>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</si>
  <si>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</si>
  <si>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</si>
  <si>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</si>
  <si>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</si>
  <si>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</si>
  <si>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</si>
  <si>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</si>
  <si>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</si>
  <si>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</si>
  <si>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</si>
  <si>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</si>
  <si>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</si>
  <si>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</si>
  <si>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</si>
  <si>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</si>
  <si>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</si>
  <si>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</si>
  <si>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</si>
  <si>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</si>
  <si>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</si>
  <si>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</si>
  <si>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</si>
  <si>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</si>
  <si>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</si>
  <si>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</si>
  <si>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</si>
  <si>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</si>
  <si>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</si>
  <si>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</si>
  <si>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</si>
  <si>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</si>
  <si>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</si>
  <si>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</si>
  <si>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</si>
  <si>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</si>
  <si>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</si>
  <si>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</si>
  <si>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</si>
  <si>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</si>
  <si>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</si>
  <si>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</si>
  <si>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</si>
  <si>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</si>
  <si>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</si>
  <si>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</si>
  <si>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</si>
  <si>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</si>
  <si>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</si>
  <si>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</si>
  <si>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</si>
  <si>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</si>
  <si>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</si>
  <si>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</si>
  <si>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</si>
  <si>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</si>
  <si>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</si>
  <si>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</si>
  <si>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</si>
  <si>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</si>
  <si>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</si>
  <si>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</si>
  <si>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</si>
  <si>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</si>
  <si>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</si>
  <si>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</si>
  <si>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</si>
  <si>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</si>
  <si>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</si>
  <si>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</si>
  <si>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</si>
  <si>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</si>
  <si>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</si>
  <si>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</si>
  <si>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</si>
  <si>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</si>
  <si>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</si>
  <si>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</si>
  <si>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</si>
  <si>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</si>
  <si>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</si>
  <si>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</si>
  <si>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</si>
  <si>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</si>
  <si>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</si>
  <si>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</si>
  <si>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</si>
  <si>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</si>
  <si>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</si>
  <si>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</si>
  <si>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</si>
  <si>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</si>
  <si>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</si>
  <si>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</si>
  <si>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</si>
  <si>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</si>
  <si>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</si>
  <si>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</si>
  <si>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</si>
  <si>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</si>
  <si>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</si>
  <si>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</si>
  <si>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</si>
  <si>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</si>
  <si>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</si>
  <si>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</si>
  <si>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</si>
  <si>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</si>
  <si>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</si>
  <si>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</si>
  <si>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</si>
  <si>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</si>
  <si>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</si>
  <si>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</si>
  <si>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</si>
  <si>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</si>
  <si>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</si>
  <si>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</si>
  <si>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</si>
  <si>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</si>
  <si>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</si>
  <si>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</si>
  <si>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</si>
  <si>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</si>
  <si>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</si>
  <si>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</si>
  <si>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</si>
  <si>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</si>
  <si>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</si>
  <si>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</si>
  <si>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</si>
  <si>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</si>
  <si>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</si>
  <si>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</si>
  <si>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</si>
  <si>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</si>
  <si>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</si>
  <si>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</si>
  <si>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</si>
  <si>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</si>
  <si>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</si>
  <si>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</si>
  <si>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</si>
  <si>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</si>
  <si>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</si>
  <si>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</si>
  <si>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</si>
  <si>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</si>
  <si>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</si>
  <si>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</si>
  <si>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</si>
  <si>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</si>
  <si>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</si>
  <si>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</si>
  <si>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</si>
  <si>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</si>
  <si>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</si>
  <si>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</si>
  <si>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</si>
  <si>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</si>
  <si>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</si>
  <si>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</si>
  <si>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</si>
  <si>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</si>
  <si>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</si>
  <si>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</si>
  <si>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</si>
  <si>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</si>
  <si>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</si>
  <si>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</si>
  <si>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</si>
  <si>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</si>
  <si>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</si>
  <si>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</si>
  <si>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</si>
  <si>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</si>
  <si>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</si>
  <si>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</si>
  <si>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</si>
  <si>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</si>
  <si>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</si>
  <si>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</si>
  <si>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</si>
  <si>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</si>
  <si>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</si>
  <si>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</si>
  <si>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</si>
  <si>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</si>
  <si>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</si>
  <si>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</si>
  <si>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</si>
  <si>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</si>
  <si>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</si>
  <si>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</si>
  <si>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</si>
  <si>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</si>
  <si>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</si>
  <si>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</si>
  <si>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</si>
  <si>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</si>
  <si>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</si>
  <si>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</si>
  <si>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</si>
  <si>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</si>
  <si>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</si>
  <si>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</si>
  <si>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</si>
  <si>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</si>
  <si>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</si>
  <si>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</si>
  <si>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</si>
  <si>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</si>
  <si>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</si>
  <si>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</si>
  <si>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</si>
  <si>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</si>
  <si>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</si>
  <si>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</si>
  <si>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</si>
  <si>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</si>
  <si>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</si>
  <si>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</si>
  <si>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</si>
  <si>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</si>
  <si>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</si>
  <si>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</si>
  <si>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</si>
  <si>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</si>
  <si>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</si>
  <si>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</si>
  <si>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</si>
  <si>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</si>
  <si>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</si>
  <si>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</si>
  <si>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</si>
  <si>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</si>
  <si>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</si>
  <si>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</si>
  <si>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</si>
  <si>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</si>
  <si>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</si>
  <si>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</si>
  <si>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</si>
  <si>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</si>
  <si>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</si>
  <si>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</si>
  <si>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</si>
  <si>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</si>
  <si>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</si>
  <si>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</si>
  <si>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</si>
  <si>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</si>
  <si>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</si>
  <si>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</si>
  <si>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</si>
  <si>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</si>
  <si>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</si>
  <si>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</si>
  <si>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</si>
  <si>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</si>
  <si>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</si>
  <si>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</si>
  <si>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</si>
  <si>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</si>
  <si>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</si>
  <si>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</si>
  <si>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</si>
  <si>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</si>
  <si>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</si>
  <si>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</si>
  <si>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</si>
  <si>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</si>
  <si>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</si>
  <si>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</si>
  <si>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</si>
  <si>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</si>
  <si>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</si>
  <si>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</si>
  <si>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</si>
  <si>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</si>
  <si>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</si>
  <si>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</si>
  <si>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</si>
  <si>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</si>
  <si>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</si>
  <si>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</si>
  <si>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</si>
  <si>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</si>
  <si>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</si>
  <si>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</si>
  <si>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</si>
  <si>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</si>
  <si>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</si>
  <si>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</si>
  <si>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</si>
  <si>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</si>
  <si>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</si>
  <si>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</si>
  <si>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</si>
  <si>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</si>
  <si>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</si>
  <si>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</si>
  <si>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</si>
  <si>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</si>
  <si>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</si>
  <si>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</si>
  <si>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</si>
  <si>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</si>
  <si>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</si>
  <si>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</si>
  <si>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</si>
  <si>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</si>
  <si>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</si>
  <si>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</si>
  <si>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</si>
  <si>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</si>
  <si>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</si>
  <si>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</si>
  <si>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</si>
  <si>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</si>
  <si>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</si>
  <si>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</si>
  <si>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</si>
  <si>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</si>
  <si>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</si>
  <si>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</si>
  <si>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</si>
  <si>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</si>
  <si>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</si>
  <si>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</si>
  <si>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</si>
  <si>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</si>
  <si>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</si>
  <si>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</si>
  <si>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</si>
  <si>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</si>
  <si>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</si>
  <si>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</si>
  <si>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</si>
  <si>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</si>
  <si>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</si>
  <si>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</si>
  <si>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</si>
  <si>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</si>
  <si>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</si>
  <si>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</si>
  <si>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</si>
  <si>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</si>
  <si>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</si>
  <si>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</si>
  <si>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</si>
  <si>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</si>
  <si>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</si>
  <si>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</si>
  <si>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</si>
  <si>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</si>
  <si>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</si>
  <si>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</si>
  <si>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</si>
  <si>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</si>
  <si>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</si>
  <si>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</si>
  <si>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</si>
  <si>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</si>
  <si>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</si>
  <si>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</si>
  <si>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</si>
  <si>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</si>
  <si>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</si>
  <si>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</si>
  <si>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</si>
  <si>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</si>
  <si>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</si>
  <si>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</si>
  <si>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</si>
  <si>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</si>
  <si>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</si>
  <si>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</si>
  <si>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</si>
  <si>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</si>
  <si>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</si>
  <si>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</si>
  <si>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</si>
  <si>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</si>
  <si>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</si>
  <si>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</si>
  <si>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</si>
  <si>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</si>
  <si>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</si>
  <si>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</si>
  <si>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</si>
  <si>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</si>
  <si>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</si>
  <si>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</si>
  <si>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</si>
  <si>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</si>
  <si>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</si>
  <si>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</si>
  <si>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</si>
  <si>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</si>
  <si>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</si>
  <si>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</si>
  <si>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</si>
  <si>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</si>
  <si>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</si>
  <si>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</si>
  <si>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</si>
  <si>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</si>
  <si>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</si>
  <si>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</si>
  <si>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</si>
  <si>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</si>
  <si>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</si>
  <si>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</si>
  <si>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</si>
  <si>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</si>
  <si>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</si>
  <si>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</si>
  <si>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</si>
  <si>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</si>
  <si>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</si>
  <si>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</si>
  <si>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</si>
  <si>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</si>
  <si>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</si>
  <si>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</si>
  <si>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</si>
  <si>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</si>
  <si>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</si>
  <si>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</si>
  <si>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</si>
  <si>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</si>
  <si>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</si>
  <si>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</si>
  <si>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</si>
  <si>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</si>
  <si>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</si>
  <si>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</si>
  <si>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</si>
  <si>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</si>
  <si>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</si>
  <si>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</si>
  <si>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</si>
  <si>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</si>
  <si>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</si>
  <si>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</si>
  <si>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</si>
  <si>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</si>
  <si>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</si>
  <si>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</si>
  <si>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</si>
  <si>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</si>
  <si>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</si>
  <si>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</si>
  <si>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</si>
  <si>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</si>
  <si>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</si>
  <si>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</si>
  <si>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</si>
  <si>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</si>
  <si>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</si>
  <si>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</si>
  <si>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</si>
  <si>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</si>
  <si>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</si>
  <si>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</si>
  <si>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</si>
  <si>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</si>
  <si>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</si>
  <si>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</si>
  <si>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</si>
  <si>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</si>
  <si>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</si>
  <si>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</si>
  <si>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</si>
  <si>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</si>
  <si>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</si>
  <si>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</si>
  <si>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</si>
  <si>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</si>
  <si>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</si>
  <si>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</si>
  <si>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</si>
  <si>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</si>
  <si>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</si>
  <si>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</si>
  <si>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</si>
  <si>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</si>
  <si>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</si>
  <si>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</si>
  <si>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</si>
  <si>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</si>
  <si>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</si>
  <si>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</si>
  <si>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</si>
  <si>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</si>
  <si>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</si>
  <si>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</si>
  <si>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</si>
  <si>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</si>
  <si>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</si>
  <si>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</si>
  <si>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</si>
  <si>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</si>
  <si>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</si>
  <si>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</si>
  <si>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</si>
  <si>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</si>
  <si>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</si>
  <si>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</si>
  <si>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</si>
  <si>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</si>
  <si>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</si>
  <si>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</si>
  <si>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</si>
  <si>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</si>
  <si>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</si>
  <si>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</si>
  <si>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</si>
  <si>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</si>
  <si>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</si>
  <si>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</si>
  <si>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</si>
  <si>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</si>
  <si>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</si>
  <si>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</si>
  <si>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</si>
  <si>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</si>
  <si>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</si>
  <si>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</si>
  <si>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</si>
  <si>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</si>
  <si>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</si>
  <si>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</si>
  <si>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</si>
  <si>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</si>
  <si>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</si>
  <si>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</si>
  <si>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</si>
  <si>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</si>
  <si>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</si>
  <si>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</si>
  <si>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</si>
  <si>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</si>
  <si>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</si>
  <si>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</si>
  <si>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</si>
  <si>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</si>
  <si>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</si>
  <si>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</si>
  <si>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</si>
  <si>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</si>
  <si>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</si>
  <si>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</si>
  <si>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</si>
  <si>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</si>
  <si>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</si>
  <si>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</si>
  <si>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</si>
  <si>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</si>
  <si>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</si>
  <si>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</si>
  <si>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</si>
  <si>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</si>
  <si>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</si>
  <si>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</si>
  <si>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</si>
  <si>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</si>
  <si>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</si>
  <si>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</si>
  <si>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</si>
  <si>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</si>
  <si>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</si>
  <si>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</si>
  <si>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</si>
  <si>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</si>
  <si>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</si>
  <si>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</si>
  <si>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</si>
  <si>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</si>
  <si>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</si>
  <si>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</si>
  <si>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</si>
  <si>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</si>
  <si>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</si>
  <si>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</si>
  <si>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</si>
  <si>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</si>
  <si>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</si>
  <si>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</si>
  <si>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</si>
  <si>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</si>
  <si>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</si>
  <si>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</si>
  <si>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</si>
  <si>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</si>
  <si>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</si>
  <si>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</si>
  <si>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</si>
  <si>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</si>
  <si>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</si>
  <si>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</si>
  <si>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</si>
  <si>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</si>
  <si>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</si>
  <si>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</si>
  <si>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</si>
  <si>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</si>
  <si>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</si>
  <si>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</si>
  <si>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</si>
  <si>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</si>
  <si>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</si>
  <si>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</si>
  <si>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</si>
  <si>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</si>
  <si>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</si>
  <si>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</si>
  <si>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</si>
  <si>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</si>
  <si>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</si>
  <si>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</si>
  <si>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</si>
  <si>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</si>
  <si>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</si>
  <si>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</si>
  <si>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</si>
  <si>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</si>
  <si>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</si>
  <si>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</si>
  <si>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</si>
  <si>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</si>
  <si>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</si>
  <si>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</si>
  <si>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</si>
  <si>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</si>
  <si>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</si>
  <si>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</si>
  <si>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</si>
  <si>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</si>
  <si>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</si>
  <si>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</si>
  <si>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</si>
  <si>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</si>
  <si>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</si>
  <si>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</si>
  <si>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</si>
  <si>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</si>
  <si>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</si>
  <si>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</si>
  <si>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</si>
  <si>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</si>
  <si>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</si>
  <si>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</si>
  <si>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</si>
  <si>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</si>
  <si>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</si>
  <si>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</si>
  <si>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</si>
  <si>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</si>
  <si>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</si>
  <si>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</si>
  <si>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</si>
  <si>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</si>
  <si>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</si>
  <si>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</si>
  <si>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</si>
  <si>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</si>
  <si>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</si>
  <si>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</si>
  <si>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</si>
  <si>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</si>
  <si>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</si>
  <si>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</si>
  <si>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</si>
  <si>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</si>
  <si>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</si>
  <si>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</si>
  <si>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</si>
  <si>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</si>
  <si>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</si>
  <si>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</si>
  <si>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</si>
  <si>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</si>
  <si>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</si>
  <si>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</si>
  <si>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</si>
  <si>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</si>
  <si>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</si>
  <si>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</si>
  <si>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</si>
  <si>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</si>
  <si>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</si>
  <si>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</si>
  <si>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</si>
  <si>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</si>
  <si>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</si>
  <si>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</si>
  <si>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</si>
  <si>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</si>
  <si>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</si>
  <si>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</si>
  <si>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</si>
  <si>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</si>
  <si>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</si>
  <si>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</si>
  <si>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</si>
  <si>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</si>
  <si>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</si>
  <si>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</si>
  <si>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</si>
  <si>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</si>
  <si>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</si>
  <si>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</si>
  <si>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</si>
  <si>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</si>
  <si>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</si>
  <si>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</si>
  <si>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</si>
  <si>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</si>
  <si>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</si>
  <si>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</si>
  <si>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</si>
  <si>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</si>
  <si>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</si>
  <si>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</si>
  <si>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</si>
  <si>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</si>
  <si>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</si>
  <si>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</si>
  <si>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</si>
  <si>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</si>
  <si>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</si>
  <si>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</si>
  <si>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</si>
  <si>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</si>
  <si>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</si>
  <si>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</si>
  <si>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</si>
  <si>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</si>
  <si>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</si>
  <si>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</si>
  <si>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</si>
  <si>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</si>
  <si>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</si>
  <si>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</si>
  <si>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</si>
  <si>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</si>
  <si>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</si>
  <si>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</si>
  <si>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</si>
  <si>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</si>
  <si>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</si>
  <si>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</si>
  <si>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</si>
  <si>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</si>
  <si>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</si>
  <si>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</si>
  <si>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</si>
  <si>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</si>
  <si>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</si>
  <si>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</si>
  <si>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</si>
  <si>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</si>
  <si>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</si>
  <si>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</si>
  <si>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</si>
  <si>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</si>
  <si>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</si>
  <si>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</si>
  <si>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</si>
  <si>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</si>
  <si>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</si>
  <si>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</si>
  <si>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</si>
  <si>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</si>
  <si>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</si>
  <si>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</si>
  <si>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</si>
  <si>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</si>
  <si>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</si>
  <si>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</si>
  <si>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</si>
  <si>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</si>
  <si>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</si>
  <si>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</si>
  <si>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</si>
  <si>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</si>
  <si>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</si>
  <si>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</si>
  <si>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</si>
  <si>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</si>
  <si>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</si>
  <si>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</si>
  <si>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</si>
  <si>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</si>
  <si>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</si>
  <si>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</si>
  <si>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</si>
  <si>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</si>
  <si>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</si>
  <si>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</si>
  <si>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</si>
  <si>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</si>
  <si>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</si>
  <si>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</si>
  <si>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</si>
  <si>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</si>
  <si>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</si>
  <si>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</si>
  <si>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</si>
  <si>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</si>
  <si>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</si>
  <si>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</si>
  <si>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</si>
  <si>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</si>
  <si>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</si>
  <si>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</si>
  <si>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</si>
  <si>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</si>
  <si>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</si>
  <si>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</si>
  <si>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</si>
  <si>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</si>
  <si>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</si>
  <si>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</si>
  <si>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</si>
  <si>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</si>
  <si>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</si>
  <si>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</si>
  <si>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</si>
  <si>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</si>
  <si>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</si>
  <si>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</si>
  <si>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</si>
  <si>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</si>
  <si>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</si>
  <si>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</si>
  <si>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</si>
  <si>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</si>
  <si>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</si>
  <si>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</si>
  <si>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</si>
  <si>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</si>
  <si>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</si>
  <si>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</si>
  <si>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</si>
  <si>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</si>
  <si>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</si>
  <si>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</si>
  <si>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</si>
  <si>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</si>
  <si>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</si>
  <si>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</si>
  <si>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</si>
  <si>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</si>
  <si>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</si>
  <si>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</si>
  <si>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</si>
  <si>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</si>
  <si>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</si>
  <si>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</si>
  <si>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</si>
  <si>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</si>
  <si>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</si>
  <si>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</si>
  <si>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</si>
  <si>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</si>
  <si>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</si>
  <si>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</si>
  <si>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</si>
  <si>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</si>
  <si>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</si>
  <si>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</si>
  <si>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</si>
  <si>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</si>
  <si>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</si>
  <si>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</si>
  <si>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</si>
  <si>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</si>
  <si>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</si>
  <si>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</si>
  <si>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</si>
  <si>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</si>
  <si>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</si>
  <si>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</si>
  <si>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</si>
  <si>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</si>
  <si>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</si>
  <si>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</si>
  <si>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</si>
  <si>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</si>
  <si>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</si>
  <si>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</si>
  <si>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</si>
  <si>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</si>
  <si>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</si>
  <si>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</si>
  <si>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</si>
  <si>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</si>
  <si>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</si>
  <si>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</si>
  <si>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</si>
  <si>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</si>
  <si>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</si>
  <si>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</si>
  <si>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</si>
  <si>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</si>
  <si>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</si>
  <si>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</si>
  <si>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</si>
  <si>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</si>
  <si>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</si>
  <si>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</si>
  <si>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</si>
  <si>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</si>
  <si>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</si>
  <si>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</si>
  <si>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</si>
  <si>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</si>
  <si>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</si>
  <si>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</si>
  <si>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</si>
  <si>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</si>
  <si>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</si>
  <si>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</si>
  <si>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</si>
  <si>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</si>
  <si>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</si>
  <si>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</si>
  <si>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</si>
  <si>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</si>
  <si>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</si>
  <si>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</si>
  <si>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</si>
  <si>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</si>
  <si>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</si>
  <si>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</si>
  <si>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</si>
  <si>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</si>
  <si>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</si>
  <si>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</si>
  <si>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</si>
  <si>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</si>
  <si>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</si>
  <si>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</si>
  <si>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</si>
  <si>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</si>
  <si>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</si>
  <si>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</si>
  <si>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</si>
  <si>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</si>
  <si>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</si>
  <si>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</si>
  <si>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</si>
  <si>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</si>
  <si>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</si>
  <si>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</si>
  <si>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</si>
  <si>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</si>
  <si>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</si>
  <si>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</si>
  <si>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</si>
  <si>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</si>
  <si>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</si>
  <si>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</si>
  <si>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</si>
  <si>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</si>
  <si>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</si>
  <si>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</si>
  <si>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</si>
  <si>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</si>
  <si>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</si>
  <si>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</si>
  <si>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</si>
  <si>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</si>
  <si>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</si>
  <si>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</si>
  <si>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</si>
  <si>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</si>
  <si>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</si>
  <si>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</si>
  <si>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</si>
  <si>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</si>
  <si>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</si>
  <si>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</si>
  <si>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</si>
  <si>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</si>
  <si>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</si>
  <si>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</si>
  <si>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</si>
  <si>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</si>
  <si>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</si>
  <si>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</si>
  <si>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</si>
  <si>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</si>
  <si>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</si>
  <si>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</si>
  <si>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</si>
  <si>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</si>
  <si>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</si>
  <si>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</si>
  <si>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</si>
  <si>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</si>
  <si>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</si>
  <si>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</si>
  <si>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</si>
  <si>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</si>
  <si>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</si>
  <si>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</si>
  <si>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</si>
  <si>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</si>
  <si>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</si>
  <si>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</si>
  <si>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</si>
  <si>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</si>
  <si>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</si>
  <si>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</si>
  <si>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</si>
  <si>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</si>
  <si>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</si>
  <si>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</si>
  <si>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</si>
  <si>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</si>
  <si>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</si>
  <si>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</si>
  <si>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</si>
  <si>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</si>
  <si>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</si>
  <si>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</si>
  <si>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</si>
  <si>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</si>
  <si>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</si>
  <si>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</si>
  <si>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</si>
  <si>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</si>
  <si>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</si>
  <si>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</si>
  <si>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</si>
  <si>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</si>
  <si>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</si>
  <si>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</si>
  <si>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</si>
  <si>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</si>
  <si>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</si>
  <si>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</si>
  <si>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</si>
  <si>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</si>
  <si>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</si>
  <si>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</si>
  <si>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</si>
  <si>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</si>
  <si>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</si>
  <si>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</si>
  <si>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</si>
  <si>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</si>
  <si>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</si>
  <si>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</si>
  <si>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</si>
  <si>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</si>
  <si>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</si>
  <si>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</si>
  <si>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</si>
  <si>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</si>
  <si>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</si>
  <si>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</si>
  <si>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</si>
  <si>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</si>
  <si>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</si>
  <si>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</si>
  <si>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</si>
  <si>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</si>
  <si>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</si>
  <si>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</si>
  <si>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</si>
  <si>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</si>
  <si>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</si>
  <si>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</si>
  <si>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</si>
  <si>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</si>
  <si>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</si>
  <si>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</si>
  <si>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</si>
  <si>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</si>
  <si>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</si>
  <si>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</si>
  <si>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</si>
  <si>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</si>
  <si>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</si>
  <si>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</si>
  <si>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</si>
  <si>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</si>
  <si>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</si>
  <si>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</si>
  <si>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</si>
  <si>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</si>
  <si>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</si>
  <si>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</si>
  <si>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</si>
  <si>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</si>
  <si>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</si>
  <si>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</si>
  <si>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</si>
  <si>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</si>
  <si>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</si>
  <si>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</si>
  <si>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</si>
  <si>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</si>
  <si>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</si>
  <si>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</si>
  <si>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</si>
  <si>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</si>
  <si>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</si>
  <si>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</si>
  <si>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</si>
  <si>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</si>
  <si>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</si>
  <si>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</si>
  <si>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</si>
  <si>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</si>
  <si>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</si>
  <si>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</si>
  <si>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</si>
  <si>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</si>
  <si>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</si>
  <si>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</si>
  <si>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</si>
  <si>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</si>
  <si>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</si>
  <si>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</si>
  <si>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</si>
  <si>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</si>
  <si>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</si>
  <si>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</si>
  <si>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</si>
  <si>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</si>
  <si>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</si>
  <si>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</si>
  <si>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</si>
  <si>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</si>
  <si>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</si>
  <si>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</si>
  <si>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</si>
  <si>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</si>
  <si>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</si>
  <si>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</si>
  <si>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</si>
  <si>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</si>
  <si>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</si>
  <si>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</si>
  <si>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</si>
  <si>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</si>
  <si>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</si>
  <si>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</si>
  <si>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</si>
  <si>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</si>
  <si>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</si>
  <si>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</si>
  <si>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</si>
  <si>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</si>
  <si>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</si>
  <si>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</si>
  <si>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</si>
  <si>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</si>
  <si>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</si>
  <si>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</si>
  <si>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</si>
  <si>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</si>
  <si>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</si>
  <si>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</si>
  <si>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</si>
  <si>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</si>
  <si>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</si>
  <si>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</si>
  <si>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</si>
  <si>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</si>
  <si>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</si>
  <si>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</si>
  <si>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</si>
  <si>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</si>
  <si>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</si>
  <si>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</si>
  <si>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</si>
  <si>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</si>
  <si>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</si>
  <si>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</si>
  <si>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</si>
  <si>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</si>
  <si>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</si>
  <si>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</si>
  <si>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</si>
  <si>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</si>
  <si>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</si>
  <si>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</si>
  <si>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</si>
  <si>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</si>
  <si>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</si>
  <si>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</si>
  <si>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</si>
  <si>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</si>
  <si>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</si>
  <si>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</si>
  <si>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</si>
  <si>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</si>
  <si>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</si>
  <si>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</si>
  <si>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</si>
  <si>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</si>
  <si>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</si>
  <si>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</si>
  <si>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</si>
  <si>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</si>
  <si>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</si>
  <si>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</si>
  <si>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</si>
  <si>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</si>
  <si>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</si>
  <si>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</si>
  <si>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</si>
  <si>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</si>
  <si>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</si>
  <si>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</si>
  <si>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</si>
  <si>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</si>
  <si>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</si>
  <si>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</si>
  <si>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</si>
  <si>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</si>
  <si>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</si>
  <si>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</si>
  <si>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</si>
  <si>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</si>
  <si>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</si>
  <si>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</si>
  <si>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</si>
  <si>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</si>
  <si>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</si>
  <si>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</si>
  <si>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</si>
  <si>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</si>
  <si>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</si>
  <si>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</si>
  <si>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</si>
  <si>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</si>
  <si>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</si>
  <si>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</si>
  <si>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</si>
  <si>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</si>
  <si>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</si>
  <si>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</si>
  <si>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</si>
  <si>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</si>
  <si>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</si>
  <si>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</si>
  <si>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</si>
  <si>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</si>
  <si>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</si>
  <si>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</si>
  <si>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</si>
  <si>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</si>
  <si>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</si>
  <si>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</si>
  <si>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</si>
  <si>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</si>
  <si>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</si>
  <si>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</si>
  <si>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</si>
  <si>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</si>
  <si>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</si>
  <si>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</si>
  <si>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</si>
  <si>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</si>
  <si>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</si>
  <si>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</si>
  <si>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</si>
  <si>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</si>
  <si>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</si>
  <si>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</si>
  <si>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</si>
  <si>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</si>
  <si>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</si>
  <si>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</si>
  <si>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</si>
  <si>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</si>
  <si>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</si>
  <si>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</si>
  <si>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</si>
  <si>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</si>
  <si>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</si>
  <si>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</si>
  <si>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</si>
  <si>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</si>
  <si>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</si>
  <si>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</si>
  <si>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</si>
  <si>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</si>
  <si>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</si>
  <si>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</si>
  <si>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</si>
  <si>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</si>
  <si>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</si>
  <si>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</si>
  <si>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</si>
  <si>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</si>
  <si>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</si>
  <si>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</si>
  <si>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</si>
  <si>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</si>
  <si>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</si>
  <si>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</si>
  <si>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</si>
  <si>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</si>
  <si>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</si>
  <si>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</si>
  <si>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</si>
  <si>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</si>
  <si>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</si>
  <si>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</si>
  <si>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</si>
  <si>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</si>
  <si>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</si>
  <si>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</si>
  <si>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</si>
  <si>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</si>
  <si>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</si>
  <si>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</si>
  <si>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</si>
  <si>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</si>
  <si>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</si>
  <si>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</si>
  <si>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</si>
  <si>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</si>
  <si>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</si>
  <si>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</si>
  <si>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</si>
  <si>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</si>
  <si>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</si>
  <si>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</si>
  <si>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</si>
  <si>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</si>
  <si>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</si>
  <si>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</si>
  <si>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</si>
  <si>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</si>
  <si>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</si>
  <si>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</si>
  <si>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</si>
  <si>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</si>
  <si>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</si>
  <si>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</si>
  <si>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</si>
  <si>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</si>
  <si>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</si>
  <si>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</si>
  <si>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</si>
  <si>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</si>
  <si>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</si>
  <si>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</si>
  <si>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</si>
  <si>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</si>
  <si>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</si>
  <si>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</si>
  <si>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</si>
  <si>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</si>
  <si>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</si>
  <si>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</si>
  <si>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</si>
  <si>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</si>
  <si>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</si>
  <si>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</si>
  <si>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</si>
  <si>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</si>
  <si>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</si>
  <si>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</si>
  <si>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</si>
  <si>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</si>
  <si>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</si>
  <si>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</si>
  <si>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</si>
  <si>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</si>
  <si>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</si>
  <si>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</si>
  <si>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</si>
  <si>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</si>
  <si>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</si>
  <si>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</si>
  <si>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</si>
  <si>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</si>
  <si>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</si>
  <si>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</si>
  <si>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</si>
  <si>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</si>
  <si>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</si>
  <si>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</si>
  <si>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</si>
  <si>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</si>
  <si>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</si>
  <si>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</si>
  <si>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</si>
  <si>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</si>
  <si>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</si>
  <si>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</si>
  <si>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</si>
  <si>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</si>
  <si>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</si>
  <si>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</si>
  <si>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</si>
  <si>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</si>
  <si>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</si>
  <si>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</si>
  <si>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</si>
  <si>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</si>
  <si>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</si>
  <si>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</si>
  <si>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</si>
  <si>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</si>
  <si>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</si>
  <si>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</si>
  <si>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</si>
  <si>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</si>
  <si>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</si>
  <si>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</si>
  <si>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</si>
  <si>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</si>
  <si>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</si>
  <si>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</si>
  <si>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</si>
  <si>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</si>
  <si>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</si>
  <si>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</si>
  <si>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</si>
  <si>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</si>
  <si>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</si>
  <si>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</si>
  <si>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</si>
  <si>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</si>
  <si>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</si>
  <si>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</si>
  <si>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</si>
  <si>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</si>
  <si>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</si>
  <si>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</si>
  <si>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</si>
  <si>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</si>
  <si>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</si>
  <si>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</si>
  <si>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</si>
  <si>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</si>
  <si>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</si>
  <si>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</si>
  <si>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</si>
  <si>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</si>
  <si>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</si>
  <si>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</si>
  <si>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</si>
  <si>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</si>
  <si>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</si>
  <si>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</si>
  <si>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</si>
  <si>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</si>
  <si>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</si>
  <si>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</si>
  <si>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</si>
  <si>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</si>
  <si>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</si>
  <si>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</si>
  <si>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</si>
  <si>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</si>
  <si>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</si>
  <si>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</si>
  <si>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</si>
  <si>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</si>
  <si>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</si>
  <si>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</si>
  <si>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</si>
  <si>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</si>
  <si>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</si>
  <si>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</si>
  <si>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</si>
  <si>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</si>
  <si>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</si>
  <si>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</si>
  <si>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</si>
  <si>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</si>
  <si>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</si>
  <si>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</si>
  <si>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</si>
  <si>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</si>
  <si>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</si>
  <si>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</si>
  <si>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</si>
  <si>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</si>
  <si>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</si>
  <si>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</si>
  <si>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</si>
  <si>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</si>
  <si>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</si>
  <si>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</si>
  <si>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</si>
  <si>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</si>
  <si>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</si>
  <si>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</si>
  <si>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</si>
  <si>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</si>
  <si>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</si>
  <si>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</si>
  <si>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</si>
  <si>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</si>
  <si>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</si>
  <si>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</si>
  <si>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</si>
  <si>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</si>
  <si>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</si>
  <si>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</si>
  <si>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</si>
  <si>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</si>
  <si>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</si>
  <si>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</si>
  <si>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</si>
  <si>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</si>
  <si>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</si>
  <si>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</si>
  <si>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</si>
  <si>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</si>
  <si>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</si>
  <si>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</si>
  <si>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</si>
  <si>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</si>
  <si>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</si>
  <si>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</si>
  <si>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</si>
  <si>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</si>
  <si>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</si>
  <si>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</si>
  <si>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</si>
  <si>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</si>
  <si>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</si>
  <si>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</si>
  <si>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</si>
  <si>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</si>
  <si>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</si>
  <si>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</si>
  <si>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</si>
  <si>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</si>
  <si>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</si>
  <si>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</si>
  <si>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</si>
  <si>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</si>
  <si>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</si>
  <si>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</si>
  <si>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</si>
  <si>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</si>
  <si>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</si>
  <si>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</si>
  <si>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</si>
  <si>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</si>
  <si>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</si>
  <si>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</si>
  <si>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</si>
  <si>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</si>
  <si>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</si>
  <si>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</si>
  <si>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</si>
  <si>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</si>
  <si>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</si>
  <si>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</si>
  <si>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</si>
  <si>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</si>
  <si>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</si>
  <si>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</si>
  <si>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</si>
  <si>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</si>
  <si>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</si>
  <si>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</si>
  <si>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</si>
  <si>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</si>
  <si>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</si>
  <si>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</si>
  <si>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</si>
  <si>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</si>
  <si>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</si>
  <si>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</si>
  <si>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</si>
  <si>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</si>
  <si>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</si>
  <si>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</si>
  <si>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</si>
  <si>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</si>
  <si>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</si>
  <si>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</si>
  <si>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</si>
  <si>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</si>
  <si>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</si>
  <si>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</si>
  <si>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</si>
  <si>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</si>
  <si>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</si>
  <si>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</si>
  <si>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</si>
  <si>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</si>
  <si>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</si>
  <si>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</si>
  <si>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</si>
  <si>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</si>
  <si>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</si>
  <si>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</si>
  <si>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</si>
  <si>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</si>
  <si>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</si>
  <si>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</si>
  <si>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</si>
  <si>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</si>
  <si>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</si>
  <si>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</si>
  <si>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</si>
  <si>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</si>
  <si>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</si>
  <si>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</si>
  <si>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</si>
  <si>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</si>
  <si>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</si>
  <si>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</si>
  <si>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</si>
  <si>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</si>
  <si>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</si>
  <si>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</si>
  <si>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</si>
  <si>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</si>
  <si>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</si>
  <si>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</si>
  <si>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</si>
  <si>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</si>
  <si>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</si>
  <si>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</si>
  <si>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</si>
  <si>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</si>
  <si>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</si>
  <si>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</si>
  <si>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</si>
  <si>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</si>
  <si>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</si>
  <si>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</si>
  <si>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</si>
  <si>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</si>
  <si>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</si>
  <si>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</si>
  <si>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</si>
  <si>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</si>
  <si>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</si>
  <si>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</si>
  <si>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</si>
  <si>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</si>
  <si>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</si>
  <si>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</si>
  <si>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</si>
  <si>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</si>
  <si>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</si>
  <si>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</si>
  <si>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</si>
  <si>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</si>
  <si>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</si>
  <si>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</si>
  <si>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</si>
  <si>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</si>
  <si>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</si>
  <si>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</si>
  <si>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</si>
  <si>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</si>
  <si>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</si>
  <si>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</si>
  <si>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</si>
  <si>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</si>
  <si>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</si>
  <si>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</si>
  <si>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</si>
  <si>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</si>
  <si>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</si>
  <si>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</si>
  <si>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</si>
  <si>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</si>
  <si>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</si>
  <si>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</si>
  <si>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</si>
  <si>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</si>
  <si>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</si>
  <si>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</si>
  <si>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</si>
  <si>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</si>
  <si>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</si>
  <si>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</si>
  <si>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</si>
  <si>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</si>
  <si>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</si>
  <si>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</si>
  <si>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</si>
  <si>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</si>
  <si>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</si>
  <si>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</si>
  <si>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</si>
  <si>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</si>
  <si>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</si>
  <si>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</si>
  <si>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</si>
  <si>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</si>
  <si>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</si>
  <si>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</si>
  <si>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</si>
  <si>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</si>
  <si>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</si>
  <si>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</si>
  <si>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</si>
  <si>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</si>
  <si>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</si>
  <si>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</si>
  <si>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</si>
  <si>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</si>
  <si>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</si>
  <si>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</si>
  <si>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</si>
  <si>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</si>
  <si>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</si>
  <si>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</si>
  <si>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</si>
  <si>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</si>
  <si>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</si>
  <si>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</si>
  <si>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</si>
  <si>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</si>
  <si>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</si>
  <si>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</si>
  <si>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</si>
  <si>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</si>
  <si>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</si>
  <si>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</si>
  <si>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</si>
  <si>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</si>
  <si>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</si>
  <si>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</si>
  <si>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</si>
  <si>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</si>
  <si>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</si>
  <si>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</si>
  <si>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</si>
  <si>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</si>
  <si>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</si>
  <si>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</si>
  <si>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</si>
  <si>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</si>
  <si>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</si>
  <si>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</si>
  <si>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</si>
  <si>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</si>
  <si>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</si>
  <si>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</si>
  <si>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</si>
  <si>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</si>
  <si>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</si>
  <si>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</si>
  <si>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</si>
  <si>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</si>
  <si>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</si>
  <si>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</si>
  <si>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</si>
  <si>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</si>
  <si>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</si>
  <si>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</si>
  <si>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</si>
  <si>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</si>
  <si>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</si>
  <si>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</si>
  <si>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</si>
  <si>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</si>
  <si>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</si>
  <si>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</si>
  <si>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</si>
  <si>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</si>
  <si>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</si>
  <si>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</si>
  <si>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</si>
  <si>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</si>
  <si>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</si>
  <si>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</si>
  <si>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</si>
  <si>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</si>
  <si>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</si>
  <si>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</si>
  <si>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</si>
  <si>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</si>
  <si>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</si>
  <si>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</si>
  <si>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</si>
  <si>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</si>
  <si>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</si>
  <si>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</si>
  <si>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</si>
  <si>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</si>
  <si>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</si>
  <si>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</si>
  <si>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</si>
  <si>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</si>
  <si>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</si>
  <si>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</si>
  <si>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</si>
  <si>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</si>
  <si>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</si>
  <si>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</si>
  <si>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</si>
  <si>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</si>
  <si>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</si>
  <si>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</si>
  <si>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</si>
  <si>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</si>
  <si>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</si>
  <si>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</si>
  <si>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</si>
  <si>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</si>
  <si>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</si>
  <si>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</si>
  <si>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</si>
  <si>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</si>
  <si>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</si>
  <si>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</si>
  <si>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</si>
  <si>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</si>
  <si>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</si>
  <si>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</si>
  <si>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</si>
  <si>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</si>
  <si>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</si>
  <si>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</si>
  <si>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</si>
  <si>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</si>
  <si>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</si>
  <si>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</si>
  <si>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</si>
  <si>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</si>
  <si>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</si>
  <si>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</si>
  <si>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</si>
  <si>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</si>
  <si>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</si>
  <si>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</si>
  <si>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</si>
  <si>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</si>
  <si>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</si>
  <si>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</si>
  <si>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</si>
  <si>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</si>
  <si>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</si>
  <si>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</si>
  <si>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</si>
  <si>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</si>
  <si>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</si>
  <si>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</si>
  <si>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</si>
  <si>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</si>
  <si>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</si>
  <si>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</si>
  <si>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</si>
  <si>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</si>
  <si>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</si>
  <si>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</si>
  <si>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</si>
  <si>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</si>
  <si>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</si>
  <si>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</si>
  <si>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</si>
  <si>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</si>
  <si>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</si>
  <si>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</si>
  <si>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</si>
  <si>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</si>
  <si>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</si>
  <si>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</si>
  <si>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</si>
  <si>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</si>
  <si>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</si>
  <si>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</si>
  <si>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</si>
  <si>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</si>
  <si>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</si>
  <si>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</si>
  <si>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</si>
  <si>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</si>
  <si>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</si>
  <si>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</si>
  <si>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</si>
  <si>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</si>
  <si>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</si>
  <si>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</si>
  <si>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</si>
  <si>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</si>
  <si>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</si>
  <si>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</si>
  <si>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</si>
  <si>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</si>
  <si>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</si>
  <si>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</si>
  <si>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</si>
  <si>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</si>
  <si>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</si>
  <si>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</si>
  <si>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</si>
  <si>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</si>
  <si>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</si>
  <si>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</si>
  <si>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</si>
  <si>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</si>
  <si>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</si>
  <si>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</si>
  <si>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</si>
  <si>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</si>
  <si>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</si>
  <si>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</si>
  <si>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</si>
  <si>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</si>
  <si>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</si>
  <si>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</si>
  <si>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</si>
  <si>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</si>
  <si>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</si>
  <si>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</si>
  <si>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</si>
  <si>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</si>
  <si>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</si>
  <si>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</si>
  <si>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</si>
  <si>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</si>
  <si>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</si>
  <si>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</si>
  <si>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</si>
  <si>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</si>
  <si>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</si>
  <si>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</si>
  <si>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</si>
  <si>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</si>
  <si>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</si>
  <si>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</si>
  <si>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</si>
  <si>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</si>
  <si>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</si>
  <si>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</si>
  <si>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</si>
  <si>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</si>
  <si>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</si>
  <si>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</si>
  <si>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</si>
  <si>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</si>
  <si>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</si>
  <si>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</si>
  <si>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</si>
  <si>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</si>
  <si>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</si>
  <si>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</si>
  <si>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</si>
  <si>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</si>
  <si>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</si>
  <si>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</si>
  <si>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</si>
  <si>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</si>
  <si>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</si>
  <si>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</si>
  <si>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</si>
  <si>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</si>
  <si>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</si>
  <si>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</si>
  <si>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</si>
  <si>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</si>
  <si>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</si>
  <si>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</si>
  <si>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</si>
  <si>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</si>
  <si>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</si>
  <si>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</si>
  <si>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</si>
  <si>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</si>
  <si>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</si>
  <si>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</si>
  <si>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</si>
  <si>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</si>
  <si>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</si>
  <si>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</si>
  <si>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</si>
  <si>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</si>
  <si>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</si>
  <si>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</si>
  <si>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</si>
  <si>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</si>
  <si>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</si>
  <si>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</si>
  <si>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</si>
  <si>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</si>
  <si>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</si>
  <si>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</si>
  <si>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</si>
  <si>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</si>
  <si>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</si>
  <si>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</si>
  <si>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</si>
  <si>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</si>
  <si>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</si>
  <si>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</si>
  <si>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</si>
  <si>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</si>
  <si>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</si>
  <si>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</si>
  <si>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</si>
  <si>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</si>
  <si>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</si>
  <si>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</si>
  <si>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</si>
  <si>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</si>
  <si>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</si>
  <si>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</si>
  <si>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</si>
  <si>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</si>
  <si>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</si>
  <si>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</si>
  <si>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</si>
  <si>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</si>
  <si>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</si>
  <si>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</si>
  <si>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</si>
  <si>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</si>
  <si>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</si>
  <si>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</si>
  <si>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</si>
  <si>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</si>
  <si>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</si>
  <si>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</si>
  <si>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Technifast Ltd</t>
  </si>
  <si>
    <t>North Folds Road, Oakley Hay Industrial Estate, CORBY, Northamptonshire, NN18 9AT</t>
  </si>
  <si>
    <t>Louis Speed</t>
  </si>
  <si>
    <t>sales@technifast.co.uk</t>
  </si>
  <si>
    <t>01536 461140</t>
  </si>
  <si>
    <t>Suzanne Lilly</t>
  </si>
  <si>
    <t>Managing Director</t>
  </si>
  <si>
    <t>lspeed@technifast.co.uk</t>
  </si>
  <si>
    <t>Because my products do not contain any of these materials</t>
  </si>
  <si>
    <t>Our company does have a policy in place</t>
  </si>
  <si>
    <t>https://bit.ly/3htFVRb</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</si>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</sst>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technifast.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bit.ly/3htFVRb" TargetMode="External"/><Relationship Id="rId4" Type="http://schemas.openxmlformats.org/officeDocument/2006/relationships/hyperlink" Target="mailto:lspeed@technifast.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650000000000006" customHeight="1">
      <c r="A29" s="369"/>
      <c r="B29" s="358"/>
      <c r="C29" s="355"/>
      <c r="D29" s="376"/>
      <c r="E29" s="367"/>
      <c r="F29" s="196" t="s">
        <v>61</v>
      </c>
      <c r="G29" s="34"/>
    </row>
    <row r="30" spans="1:7" ht="62.6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6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CDD421-14F8-49AD-A8E2-DF319789683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F730BECF-6619-4A37-A03B-55E9EFA401B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150000000000006"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6" sqref="G86:J8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25" t="str">
        <f ca="1">OFFSET(L!$C$1,MATCH("Declaration"&amp;ADDRESS(ROW(),COLUMN(),4)&amp;LEFT($D$9,1),L!$A:$A,0)-1,SL,,)</f>
        <v>Description of Scope:</v>
      </c>
      <c r="C10" s="151"/>
      <c r="D10" s="416"/>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15607</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15611</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15609</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15610</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15608</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15612</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15613</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15610</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44452</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t="s">
        <v>15614</v>
      </c>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84" t="s">
        <v>489</v>
      </c>
      <c r="E27" s="385"/>
      <c r="F27" s="15"/>
      <c r="G27" s="386" t="s">
        <v>15614</v>
      </c>
      <c r="H27" s="387"/>
      <c r="I27" s="387"/>
      <c r="J27" s="388"/>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t="s">
        <v>15614</v>
      </c>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t="s">
        <v>15614</v>
      </c>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v>
      </c>
      <c r="C31" s="13"/>
      <c r="D31" s="391" t="str">
        <f ca="1">D25</f>
        <v>Answer</v>
      </c>
      <c r="E31" s="391"/>
      <c r="F31" s="21"/>
      <c r="G31" s="55" t="str">
        <f ca="1">G25</f>
        <v>Comments</v>
      </c>
      <c r="H31" s="55"/>
      <c r="I31" s="55"/>
      <c r="J31" s="96"/>
      <c r="K31" s="47"/>
      <c r="L31" s="136" t="s">
        <v>1243</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84"/>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v>
      </c>
      <c r="C37" s="13"/>
      <c r="D37" s="391" t="str">
        <f ca="1">D25</f>
        <v>Answer</v>
      </c>
      <c r="E37" s="391"/>
      <c r="F37" s="21"/>
      <c r="G37" s="55" t="str">
        <f ca="1">G25</f>
        <v>Comments</v>
      </c>
      <c r="H37" s="431"/>
      <c r="I37" s="431"/>
      <c r="J37" s="431"/>
      <c r="K37" s="47"/>
      <c r="L37" s="136" t="s">
        <v>1243</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84"/>
      <c r="E39" s="385"/>
      <c r="F39" s="58"/>
      <c r="G39" s="386"/>
      <c r="H39" s="387"/>
      <c r="I39" s="387"/>
      <c r="J39" s="388"/>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v>
      </c>
      <c r="C43" s="13"/>
      <c r="D43" s="391" t="str">
        <f ca="1">D25</f>
        <v>Answer</v>
      </c>
      <c r="E43" s="391"/>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84"/>
      <c r="E45" s="385"/>
      <c r="F45" s="58"/>
      <c r="G45" s="386"/>
      <c r="H45" s="387"/>
      <c r="I45" s="387"/>
      <c r="J45" s="388"/>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84"/>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 xml:space="preserve">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9"/>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 xml:space="preserve">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84"/>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 xml:space="preserve">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84"/>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84" t="s">
        <v>488</v>
      </c>
      <c r="E75" s="385"/>
      <c r="F75" s="68"/>
      <c r="G75" s="386" t="s">
        <v>15615</v>
      </c>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84" t="s">
        <v>488</v>
      </c>
      <c r="E77" s="385"/>
      <c r="F77" s="68"/>
      <c r="G77" s="403" t="s">
        <v>15616</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84" t="s">
        <v>489</v>
      </c>
      <c r="E79" s="385"/>
      <c r="F79" s="68"/>
      <c r="G79" s="386" t="s">
        <v>15617</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84" t="s">
        <v>489</v>
      </c>
      <c r="E81" s="385"/>
      <c r="F81" s="68"/>
      <c r="G81" s="386" t="s">
        <v>15618</v>
      </c>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84" t="s">
        <v>489</v>
      </c>
      <c r="E83" s="385"/>
      <c r="F83" s="68"/>
      <c r="G83" s="386" t="s">
        <v>15619</v>
      </c>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41" t="s">
        <v>489</v>
      </c>
      <c r="E85" s="442"/>
      <c r="F85" s="68"/>
      <c r="G85" s="386" t="s">
        <v>15620</v>
      </c>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DB084ED-437E-4524-AAAA-7B757E2F7772}"/>
    <hyperlink ref="D20" r:id="rId4" xr:uid="{E14DC2DB-6726-4BEA-B246-2AD0BD72398F}"/>
    <hyperlink ref="G77" r:id="rId5" xr:uid="{B9AB85E7-62DD-4FE4-9760-50B27A7C734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14999999999998"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9.899999999999999" customHeight="1">
      <c r="A5" s="324"/>
      <c r="B5" s="215" t="str">
        <f>IF(LEN(A5)=0,"",INDEX('Smelter Look-up'!$A:$A,MATCH($A5,'Smelter Look-up'!$E:$E,0)))</f>
        <v/>
      </c>
      <c r="C5" s="219" t="str">
        <f>IF(LEN(A5)=0,"",INDEX('Smelter Look-up'!$C:$C,MATCH($A5,'Smelter Look-up'!$E:$E,0)))</f>
        <v/>
      </c>
      <c r="D5" s="278"/>
      <c r="E5" s="215" t="str">
        <f ca="1">IF(ISERROR($V5),"",OFFSET('Smelter Look-up'!$D$4,$V5-4,0)&amp;"")</f>
        <v/>
      </c>
      <c r="F5" s="215" t="str">
        <f ca="1">IF(ISERROR($V5),"",OFFSET('Smelter Look-up'!$E$4,$V5-4,0))</f>
        <v/>
      </c>
      <c r="G5" s="215" t="str">
        <f ca="1">IF(C5=$X$4,"Enter smelter details",IF(ISERROR($V5),"",OFFSET('Smelter Look-up'!$F$4,$V5-4,0)))</f>
        <v/>
      </c>
      <c r="H5" s="216" t="str">
        <f ca="1">IF(ISERROR($V5),"",OFFSET('Smelter Look-up'!$G$4,$V5-4,0))</f>
        <v/>
      </c>
      <c r="I5" s="217" t="str">
        <f ca="1">IF(ISERROR($V5),"",OFFSET('Smelter Look-up'!$H$4,$V5-4,0))</f>
        <v/>
      </c>
      <c r="J5" s="217" t="str">
        <f ca="1">IF(ISERROR($V5),"",OFFSET('Smelter Look-up'!$I$4,$V5-4,0))</f>
        <v/>
      </c>
      <c r="K5" s="268"/>
      <c r="L5" s="268"/>
      <c r="M5" s="268"/>
      <c r="N5" s="268"/>
      <c r="O5" s="268"/>
      <c r="P5" s="218"/>
      <c r="Q5" s="269"/>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70" t="e">
        <f>IF(C5="",NA(),MATCH($B5&amp;$C5,'Smelter Look-up'!$J:$J,0))</f>
        <v>#N/A</v>
      </c>
      <c r="W5" s="271"/>
      <c r="X5" s="271">
        <f t="shared" ref="X5" ca="1" si="1">IF(AND(C5="Smelter not listed",OR(LEN(D5)=0,LEN(E5)=0)),1,0)</f>
        <v>0</v>
      </c>
      <c r="Y5" s="271"/>
      <c r="Z5" s="271"/>
      <c r="AB5" s="273" t="str">
        <f t="shared" ref="AB5" si="2">B5&amp;C5</f>
        <v/>
      </c>
    </row>
    <row r="6" spans="1:34" s="272" customFormat="1" ht="19.899999999999999" customHeight="1">
      <c r="A6" s="324"/>
      <c r="B6" s="215" t="str">
        <f>IF(LEN(A6)=0,"",INDEX('Smelter Look-up'!$A:$A,MATCH($A6,'Smelter Look-up'!$E:$E,0)))</f>
        <v/>
      </c>
      <c r="C6" s="219" t="str">
        <f>IF(LEN(A6)=0,"",INDEX('Smelter Look-up'!$C:$C,MATCH($A6,'Smelter Look-up'!$E:$E,0)))</f>
        <v/>
      </c>
      <c r="D6" s="278"/>
      <c r="E6" s="215" t="str">
        <f ca="1">IF(ISERROR($V6),"",OFFSET('Smelter Look-up'!$D$4,$V6-4,0)&amp;"")</f>
        <v/>
      </c>
      <c r="F6" s="215" t="str">
        <f ca="1">IF(ISERROR($V6),"",OFFSET('Smelter Look-up'!$E$4,$V6-4,0))</f>
        <v/>
      </c>
      <c r="G6" s="215" t="str">
        <f ca="1">IF(C6=$X$4,"Enter smelter details",IF(ISERROR($V6),"",OFFSET('Smelter Look-up'!$F$4,$V6-4,0)))</f>
        <v/>
      </c>
      <c r="H6" s="216" t="str">
        <f ca="1">IF(ISERROR($V6),"",OFFSET('Smelter Look-up'!$G$4,$V6-4,0))</f>
        <v/>
      </c>
      <c r="I6" s="217" t="str">
        <f ca="1">IF(ISERROR($V6),"",OFFSET('Smelter Look-up'!$H$4,$V6-4,0))</f>
        <v/>
      </c>
      <c r="J6" s="217" t="str">
        <f ca="1">IF(ISERROR($V6),"",OFFSET('Smelter Look-up'!$I$4,$V6-4,0))</f>
        <v/>
      </c>
      <c r="K6" s="268"/>
      <c r="L6" s="268"/>
      <c r="M6" s="268"/>
      <c r="N6" s="268"/>
      <c r="O6" s="268"/>
      <c r="P6" s="218"/>
      <c r="Q6" s="269"/>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70" t="e">
        <f>IF(C6="",NA(),MATCH($B6&amp;$C6,'Smelter Look-up'!$J:$J,0))</f>
        <v>#N/A</v>
      </c>
      <c r="W6" s="271"/>
      <c r="X6" s="271">
        <f t="shared" ref="X6:X37" ca="1" si="4">IF(AND(C6="Smelter not listed",OR(LEN(D6)=0,LEN(E6)=0)),1,0)</f>
        <v>0</v>
      </c>
      <c r="Y6" s="271"/>
      <c r="Z6" s="271"/>
      <c r="AB6" s="273" t="str">
        <f t="shared" ref="AB6:AB37" si="5">B6&amp;C6</f>
        <v/>
      </c>
    </row>
    <row r="7" spans="1:34" s="272" customFormat="1" ht="19.899999999999999" customHeight="1">
      <c r="A7" s="324"/>
      <c r="B7" s="215" t="str">
        <f>IF(LEN(A7)=0,"",INDEX('Smelter Look-up'!$A:$A,MATCH($A7,'Smelter Look-up'!$E:$E,0)))</f>
        <v/>
      </c>
      <c r="C7" s="219" t="str">
        <f>IF(LEN(A7)=0,"",INDEX('Smelter Look-up'!$C:$C,MATCH($A7,'Smelter Look-up'!$E:$E,0)))</f>
        <v/>
      </c>
      <c r="D7" s="278"/>
      <c r="E7" s="215" t="str">
        <f ca="1">IF(ISERROR($V7),"",OFFSET('Smelter Look-up'!$D$4,$V7-4,0)&amp;"")</f>
        <v/>
      </c>
      <c r="F7" s="215" t="str">
        <f ca="1">IF(ISERROR($V7),"",OFFSET('Smelter Look-up'!$E$4,$V7-4,0))</f>
        <v/>
      </c>
      <c r="G7" s="215" t="str">
        <f ca="1">IF(C7=$X$4,"Enter smelter details",IF(ISERROR($V7),"",OFFSET('Smelter Look-up'!$F$4,$V7-4,0)))</f>
        <v/>
      </c>
      <c r="H7" s="216" t="str">
        <f ca="1">IF(ISERROR($V7),"",OFFSET('Smelter Look-up'!$G$4,$V7-4,0))</f>
        <v/>
      </c>
      <c r="I7" s="217" t="str">
        <f ca="1">IF(ISERROR($V7),"",OFFSET('Smelter Look-up'!$H$4,$V7-4,0))</f>
        <v/>
      </c>
      <c r="J7" s="217" t="str">
        <f ca="1">IF(ISERROR($V7),"",OFFSET('Smelter Look-up'!$I$4,$V7-4,0))</f>
        <v/>
      </c>
      <c r="K7" s="268"/>
      <c r="L7" s="268"/>
      <c r="M7" s="268"/>
      <c r="N7" s="268"/>
      <c r="O7" s="268"/>
      <c r="P7" s="218"/>
      <c r="Q7" s="269"/>
      <c r="R7" s="215" t="str">
        <f ca="1">IF(ISERROR($V7),"",OFFSET('Smelter Look-up'!$C$4,$V7-4,0)&amp;"")</f>
        <v/>
      </c>
      <c r="S7" s="222" t="str">
        <f t="shared" ca="1" si="3"/>
        <v/>
      </c>
      <c r="T7" s="222" t="str">
        <f ca="1">IF(B7="","",IF(ISERROR(MATCH($J7,SorP!$B$1:$B$6230,0)),"",INDIRECT("'SorP'!$A$"&amp;MATCH($J7,SorP!$B$1:$B$6230,0))))</f>
        <v/>
      </c>
      <c r="U7" s="238"/>
      <c r="V7" s="270" t="e">
        <f>IF(C7="",NA(),MATCH($B7&amp;$C7,'Smelter Look-up'!$J:$J,0))</f>
        <v>#N/A</v>
      </c>
      <c r="W7" s="271"/>
      <c r="X7" s="271">
        <f t="shared" ca="1" si="4"/>
        <v>0</v>
      </c>
      <c r="Y7" s="271"/>
      <c r="Z7" s="271"/>
      <c r="AB7" s="273" t="str">
        <f t="shared" si="5"/>
        <v/>
      </c>
    </row>
    <row r="8" spans="1:34" s="272" customFormat="1" ht="19.899999999999999" customHeight="1">
      <c r="A8" s="324"/>
      <c r="B8" s="215" t="str">
        <f>IF(LEN(A8)=0,"",INDEX('Smelter Look-up'!$A:$A,MATCH($A8,'Smelter Look-up'!$E:$E,0)))</f>
        <v/>
      </c>
      <c r="C8" s="219" t="str">
        <f>IF(LEN(A8)=0,"",INDEX('Smelter Look-up'!$C:$C,MATCH($A8,'Smelter Look-up'!$E:$E,0)))</f>
        <v/>
      </c>
      <c r="D8" s="278"/>
      <c r="E8" s="215" t="str">
        <f ca="1">IF(ISERROR($V8),"",OFFSET('Smelter Look-up'!$D$4,$V8-4,0)&amp;"")</f>
        <v/>
      </c>
      <c r="F8" s="215" t="str">
        <f ca="1">IF(ISERROR($V8),"",OFFSET('Smelter Look-up'!$E$4,$V8-4,0))</f>
        <v/>
      </c>
      <c r="G8" s="215" t="str">
        <f ca="1">IF(C8=$X$4,"Enter smelter details",IF(ISERROR($V8),"",OFFSET('Smelter Look-up'!$F$4,$V8-4,0)))</f>
        <v/>
      </c>
      <c r="H8" s="216" t="str">
        <f ca="1">IF(ISERROR($V8),"",OFFSET('Smelter Look-up'!$G$4,$V8-4,0))</f>
        <v/>
      </c>
      <c r="I8" s="217" t="str">
        <f ca="1">IF(ISERROR($V8),"",OFFSET('Smelter Look-up'!$H$4,$V8-4,0))</f>
        <v/>
      </c>
      <c r="J8" s="217" t="str">
        <f ca="1">IF(ISERROR($V8),"",OFFSET('Smelter Look-up'!$I$4,$V8-4,0))</f>
        <v/>
      </c>
      <c r="K8" s="268"/>
      <c r="L8" s="268"/>
      <c r="M8" s="268"/>
      <c r="N8" s="268"/>
      <c r="O8" s="268"/>
      <c r="P8" s="218"/>
      <c r="Q8" s="269"/>
      <c r="R8" s="215" t="str">
        <f ca="1">IF(ISERROR($V8),"",OFFSET('Smelter Look-up'!$C$4,$V8-4,0)&amp;"")</f>
        <v/>
      </c>
      <c r="S8" s="222" t="str">
        <f t="shared" ca="1" si="3"/>
        <v/>
      </c>
      <c r="T8" s="222" t="str">
        <f ca="1">IF(B8="","",IF(ISERROR(MATCH($J8,SorP!$B$1:$B$6230,0)),"",INDIRECT("'SorP'!$A$"&amp;MATCH($J8,SorP!$B$1:$B$6230,0))))</f>
        <v/>
      </c>
      <c r="U8" s="238"/>
      <c r="V8" s="270" t="e">
        <f>IF(C8="",NA(),MATCH($B8&amp;$C8,'Smelter Look-up'!$J:$J,0))</f>
        <v>#N/A</v>
      </c>
      <c r="W8" s="271"/>
      <c r="X8" s="271">
        <f t="shared" ca="1" si="4"/>
        <v>0</v>
      </c>
      <c r="Y8" s="271"/>
      <c r="Z8" s="271"/>
      <c r="AB8" s="273" t="str">
        <f t="shared" si="5"/>
        <v/>
      </c>
    </row>
    <row r="9" spans="1:34" s="272" customFormat="1" ht="19.899999999999999" customHeight="1">
      <c r="A9" s="324"/>
      <c r="B9" s="215" t="str">
        <f>IF(LEN(A9)=0,"",INDEX('Smelter Look-up'!$A:$A,MATCH($A9,'Smelter Look-up'!$E:$E,0)))</f>
        <v/>
      </c>
      <c r="C9" s="219" t="str">
        <f>IF(LEN(A9)=0,"",INDEX('Smelter Look-up'!$C:$C,MATCH($A9,'Smelter Look-up'!$E:$E,0)))</f>
        <v/>
      </c>
      <c r="D9" s="278"/>
      <c r="E9" s="215" t="str">
        <f ca="1">IF(ISERROR($V9),"",OFFSET('Smelter Look-up'!$D$4,$V9-4,0)&amp;"")</f>
        <v/>
      </c>
      <c r="F9" s="215" t="str">
        <f ca="1">IF(ISERROR($V9),"",OFFSET('Smelter Look-up'!$E$4,$V9-4,0))</f>
        <v/>
      </c>
      <c r="G9" s="215" t="str">
        <f ca="1">IF(C9=$X$4,"Enter smelter details",IF(ISERROR($V9),"",OFFSET('Smelter Look-up'!$F$4,$V9-4,0)))</f>
        <v/>
      </c>
      <c r="H9" s="216" t="str">
        <f ca="1">IF(ISERROR($V9),"",OFFSET('Smelter Look-up'!$G$4,$V9-4,0))</f>
        <v/>
      </c>
      <c r="I9" s="217" t="str">
        <f ca="1">IF(ISERROR($V9),"",OFFSET('Smelter Look-up'!$H$4,$V9-4,0))</f>
        <v/>
      </c>
      <c r="J9" s="217" t="str">
        <f ca="1">IF(ISERROR($V9),"",OFFSET('Smelter Look-up'!$I$4,$V9-4,0))</f>
        <v/>
      </c>
      <c r="K9" s="268"/>
      <c r="L9" s="268"/>
      <c r="M9" s="268"/>
      <c r="N9" s="268"/>
      <c r="O9" s="268"/>
      <c r="P9" s="218"/>
      <c r="Q9" s="269"/>
      <c r="R9" s="215" t="str">
        <f ca="1">IF(ISERROR($V9),"",OFFSET('Smelter Look-up'!$C$4,$V9-4,0)&amp;"")</f>
        <v/>
      </c>
      <c r="S9" s="222" t="str">
        <f t="shared" ca="1" si="3"/>
        <v/>
      </c>
      <c r="T9" s="222" t="str">
        <f ca="1">IF(B9="","",IF(ISERROR(MATCH($J9,SorP!$B$1:$B$6230,0)),"",INDIRECT("'SorP'!$A$"&amp;MATCH($J9,SorP!$B$1:$B$6230,0))))</f>
        <v/>
      </c>
      <c r="U9" s="238"/>
      <c r="V9" s="270" t="e">
        <f>IF(C9="",NA(),MATCH($B9&amp;$C9,'Smelter Look-up'!$J:$J,0))</f>
        <v>#N/A</v>
      </c>
      <c r="W9" s="271"/>
      <c r="X9" s="271">
        <f t="shared" ca="1" si="4"/>
        <v>0</v>
      </c>
      <c r="Y9" s="271"/>
      <c r="Z9" s="271"/>
      <c r="AB9" s="273" t="str">
        <f t="shared" si="5"/>
        <v/>
      </c>
    </row>
    <row r="10" spans="1:34" s="272" customFormat="1" ht="19.899999999999999" customHeight="1">
      <c r="A10" s="324"/>
      <c r="B10" s="215" t="str">
        <f>IF(LEN(A10)=0,"",INDEX('Smelter Look-up'!$A:$A,MATCH($A10,'Smelter Look-up'!$E:$E,0)))</f>
        <v/>
      </c>
      <c r="C10" s="219" t="str">
        <f>IF(LEN(A10)=0,"",INDEX('Smelter Look-up'!$C:$C,MATCH($A10,'Smelter Look-up'!$E:$E,0)))</f>
        <v/>
      </c>
      <c r="D10" s="278"/>
      <c r="E10" s="215" t="str">
        <f ca="1">IF(ISERROR($V10),"",OFFSET('Smelter Look-up'!$D$4,$V10-4,0)&amp;"")</f>
        <v/>
      </c>
      <c r="F10" s="215" t="str">
        <f ca="1">IF(ISERROR($V10),"",OFFSET('Smelter Look-up'!$E$4,$V10-4,0))</f>
        <v/>
      </c>
      <c r="G10" s="215" t="str">
        <f ca="1">IF(C10=$X$4,"Enter smelter details",IF(ISERROR($V10),"",OFFSET('Smelter Look-up'!$F$4,$V10-4,0)))</f>
        <v/>
      </c>
      <c r="H10" s="216" t="str">
        <f ca="1">IF(ISERROR($V10),"",OFFSET('Smelter Look-up'!$G$4,$V10-4,0))</f>
        <v/>
      </c>
      <c r="I10" s="217" t="str">
        <f ca="1">IF(ISERROR($V10),"",OFFSET('Smelter Look-up'!$H$4,$V10-4,0))</f>
        <v/>
      </c>
      <c r="J10" s="217" t="str">
        <f ca="1">IF(ISERROR($V10),"",OFFSET('Smelter Look-up'!$I$4,$V10-4,0))</f>
        <v/>
      </c>
      <c r="K10" s="268"/>
      <c r="L10" s="268"/>
      <c r="M10" s="268"/>
      <c r="N10" s="268"/>
      <c r="O10" s="268"/>
      <c r="P10" s="218"/>
      <c r="Q10" s="269"/>
      <c r="R10" s="215" t="str">
        <f ca="1">IF(ISERROR($V10),"",OFFSET('Smelter Look-up'!$C$4,$V10-4,0)&amp;"")</f>
        <v/>
      </c>
      <c r="S10" s="222" t="str">
        <f t="shared" ca="1" si="3"/>
        <v/>
      </c>
      <c r="T10" s="222" t="str">
        <f ca="1">IF(B10="","",IF(ISERROR(MATCH($J10,SorP!$B$1:$B$6230,0)),"",INDIRECT("'SorP'!$A$"&amp;MATCH($J10,SorP!$B$1:$B$6230,0))))</f>
        <v/>
      </c>
      <c r="U10" s="238"/>
      <c r="V10" s="270" t="e">
        <f>IF(C10="",NA(),MATCH($B10&amp;$C10,'Smelter Look-up'!$J:$J,0))</f>
        <v>#N/A</v>
      </c>
      <c r="W10" s="271"/>
      <c r="X10" s="271">
        <f t="shared" ca="1" si="4"/>
        <v>0</v>
      </c>
      <c r="Y10" s="271"/>
      <c r="Z10" s="271"/>
      <c r="AB10" s="273" t="str">
        <f t="shared" si="5"/>
        <v/>
      </c>
    </row>
    <row r="11" spans="1:34" s="272" customFormat="1" ht="19.899999999999999" customHeight="1">
      <c r="A11" s="324"/>
      <c r="B11" s="215" t="str">
        <f>IF(LEN(A11)=0,"",INDEX('Smelter Look-up'!$A:$A,MATCH($A11,'Smelter Look-up'!$E:$E,0)))</f>
        <v/>
      </c>
      <c r="C11" s="219" t="str">
        <f>IF(LEN(A11)=0,"",INDEX('Smelter Look-up'!$C:$C,MATCH($A11,'Smelter Look-up'!$E:$E,0)))</f>
        <v/>
      </c>
      <c r="D11" s="278"/>
      <c r="E11" s="215" t="str">
        <f ca="1">IF(ISERROR($V11),"",OFFSET('Smelter Look-up'!$D$4,$V11-4,0)&amp;"")</f>
        <v/>
      </c>
      <c r="F11" s="215" t="str">
        <f ca="1">IF(ISERROR($V11),"",OFFSET('Smelter Look-up'!$E$4,$V11-4,0))</f>
        <v/>
      </c>
      <c r="G11" s="215" t="str">
        <f ca="1">IF(C11=$X$4,"Enter smelter details",IF(ISERROR($V11),"",OFFSET('Smelter Look-up'!$F$4,$V11-4,0)))</f>
        <v/>
      </c>
      <c r="H11" s="216" t="str">
        <f ca="1">IF(ISERROR($V11),"",OFFSET('Smelter Look-up'!$G$4,$V11-4,0))</f>
        <v/>
      </c>
      <c r="I11" s="217" t="str">
        <f ca="1">IF(ISERROR($V11),"",OFFSET('Smelter Look-up'!$H$4,$V11-4,0))</f>
        <v/>
      </c>
      <c r="J11" s="217" t="str">
        <f ca="1">IF(ISERROR($V11),"",OFFSET('Smelter Look-up'!$I$4,$V11-4,0))</f>
        <v/>
      </c>
      <c r="K11" s="268"/>
      <c r="L11" s="268"/>
      <c r="M11" s="268"/>
      <c r="N11" s="268"/>
      <c r="O11" s="268"/>
      <c r="P11" s="218"/>
      <c r="Q11" s="269"/>
      <c r="R11" s="215" t="str">
        <f ca="1">IF(ISERROR($V11),"",OFFSET('Smelter Look-up'!$C$4,$V11-4,0)&amp;"")</f>
        <v/>
      </c>
      <c r="S11" s="222" t="str">
        <f t="shared" ca="1" si="3"/>
        <v/>
      </c>
      <c r="T11" s="222" t="str">
        <f ca="1">IF(B11="","",IF(ISERROR(MATCH($J11,SorP!$B$1:$B$6230,0)),"",INDIRECT("'SorP'!$A$"&amp;MATCH($J11,SorP!$B$1:$B$6230,0))))</f>
        <v/>
      </c>
      <c r="U11" s="238"/>
      <c r="V11" s="270" t="e">
        <f>IF(C11="",NA(),MATCH($B11&amp;$C11,'Smelter Look-up'!$J:$J,0))</f>
        <v>#N/A</v>
      </c>
      <c r="W11" s="271"/>
      <c r="X11" s="271">
        <f t="shared" ca="1" si="4"/>
        <v>0</v>
      </c>
      <c r="Y11" s="271"/>
      <c r="Z11" s="271"/>
      <c r="AB11" s="273" t="str">
        <f t="shared" si="5"/>
        <v/>
      </c>
    </row>
    <row r="12" spans="1:34" s="272" customFormat="1" ht="19.899999999999999" customHeight="1">
      <c r="A12" s="324"/>
      <c r="B12" s="215" t="str">
        <f>IF(LEN(A12)=0,"",INDEX('Smelter Look-up'!$A:$A,MATCH($A12,'Smelter Look-up'!$E:$E,0)))</f>
        <v/>
      </c>
      <c r="C12" s="219" t="str">
        <f>IF(LEN(A12)=0,"",INDEX('Smelter Look-up'!$C:$C,MATCH($A12,'Smelter Look-up'!$E:$E,0)))</f>
        <v/>
      </c>
      <c r="D12" s="278"/>
      <c r="E12" s="215" t="str">
        <f ca="1">IF(ISERROR($V12),"",OFFSET('Smelter Look-up'!$D$4,$V12-4,0)&amp;"")</f>
        <v/>
      </c>
      <c r="F12" s="215" t="str">
        <f ca="1">IF(ISERROR($V12),"",OFFSET('Smelter Look-up'!$E$4,$V12-4,0))</f>
        <v/>
      </c>
      <c r="G12" s="215" t="str">
        <f ca="1">IF(C12=$X$4,"Enter smelter details",IF(ISERROR($V12),"",OFFSET('Smelter Look-up'!$F$4,$V12-4,0)))</f>
        <v/>
      </c>
      <c r="H12" s="216" t="str">
        <f ca="1">IF(ISERROR($V12),"",OFFSET('Smelter Look-up'!$G$4,$V12-4,0))</f>
        <v/>
      </c>
      <c r="I12" s="217" t="str">
        <f ca="1">IF(ISERROR($V12),"",OFFSET('Smelter Look-up'!$H$4,$V12-4,0))</f>
        <v/>
      </c>
      <c r="J12" s="217" t="str">
        <f ca="1">IF(ISERROR($V12),"",OFFSET('Smelter Look-up'!$I$4,$V12-4,0))</f>
        <v/>
      </c>
      <c r="K12" s="268"/>
      <c r="L12" s="268"/>
      <c r="M12" s="268"/>
      <c r="N12" s="268"/>
      <c r="O12" s="268"/>
      <c r="P12" s="218"/>
      <c r="Q12" s="269"/>
      <c r="R12" s="215" t="str">
        <f ca="1">IF(ISERROR($V12),"",OFFSET('Smelter Look-up'!$C$4,$V12-4,0)&amp;"")</f>
        <v/>
      </c>
      <c r="S12" s="222" t="str">
        <f t="shared" ca="1" si="3"/>
        <v/>
      </c>
      <c r="T12" s="222" t="str">
        <f ca="1">IF(B12="","",IF(ISERROR(MATCH($J12,SorP!$B$1:$B$6230,0)),"",INDIRECT("'SorP'!$A$"&amp;MATCH($J12,SorP!$B$1:$B$6230,0))))</f>
        <v/>
      </c>
      <c r="U12" s="238"/>
      <c r="V12" s="270" t="e">
        <f>IF(C12="",NA(),MATCH($B12&amp;$C12,'Smelter Look-up'!$J:$J,0))</f>
        <v>#N/A</v>
      </c>
      <c r="W12" s="271"/>
      <c r="X12" s="271">
        <f t="shared" ca="1" si="4"/>
        <v>0</v>
      </c>
      <c r="Y12" s="271"/>
      <c r="Z12" s="271"/>
      <c r="AB12" s="273" t="str">
        <f t="shared" si="5"/>
        <v/>
      </c>
    </row>
    <row r="13" spans="1:34" s="272" customFormat="1" ht="19.899999999999999" customHeight="1">
      <c r="A13" s="324"/>
      <c r="B13" s="215" t="str">
        <f>IF(LEN(A13)=0,"",INDEX('Smelter Look-up'!$A:$A,MATCH($A13,'Smelter Look-up'!$E:$E,0)))</f>
        <v/>
      </c>
      <c r="C13" s="219" t="str">
        <f>IF(LEN(A13)=0,"",INDEX('Smelter Look-up'!$C:$C,MATCH($A13,'Smelter Look-up'!$E:$E,0)))</f>
        <v/>
      </c>
      <c r="D13" s="278"/>
      <c r="E13" s="215" t="str">
        <f ca="1">IF(ISERROR($V13),"",OFFSET('Smelter Look-up'!$D$4,$V13-4,0)&amp;"")</f>
        <v/>
      </c>
      <c r="F13" s="215" t="str">
        <f ca="1">IF(ISERROR($V13),"",OFFSET('Smelter Look-up'!$E$4,$V13-4,0))</f>
        <v/>
      </c>
      <c r="G13" s="215" t="str">
        <f ca="1">IF(C13=$X$4,"Enter smelter details",IF(ISERROR($V13),"",OFFSET('Smelter Look-up'!$F$4,$V13-4,0)))</f>
        <v/>
      </c>
      <c r="H13" s="216" t="str">
        <f ca="1">IF(ISERROR($V13),"",OFFSET('Smelter Look-up'!$G$4,$V13-4,0))</f>
        <v/>
      </c>
      <c r="I13" s="217" t="str">
        <f ca="1">IF(ISERROR($V13),"",OFFSET('Smelter Look-up'!$H$4,$V13-4,0))</f>
        <v/>
      </c>
      <c r="J13" s="217" t="str">
        <f ca="1">IF(ISERROR($V13),"",OFFSET('Smelter Look-up'!$I$4,$V13-4,0))</f>
        <v/>
      </c>
      <c r="K13" s="268"/>
      <c r="L13" s="268"/>
      <c r="M13" s="268"/>
      <c r="N13" s="268"/>
      <c r="O13" s="268"/>
      <c r="P13" s="218"/>
      <c r="Q13" s="269"/>
      <c r="R13" s="215" t="str">
        <f ca="1">IF(ISERROR($V13),"",OFFSET('Smelter Look-up'!$C$4,$V13-4,0)&amp;"")</f>
        <v/>
      </c>
      <c r="S13" s="222" t="str">
        <f t="shared" ca="1" si="3"/>
        <v/>
      </c>
      <c r="T13" s="222" t="str">
        <f ca="1">IF(B13="","",IF(ISERROR(MATCH($J13,SorP!$B$1:$B$6230,0)),"",INDIRECT("'SorP'!$A$"&amp;MATCH($J13,SorP!$B$1:$B$6230,0))))</f>
        <v/>
      </c>
      <c r="U13" s="238"/>
      <c r="V13" s="270" t="e">
        <f>IF(C13="",NA(),MATCH($B13&amp;$C13,'Smelter Look-up'!$J:$J,0))</f>
        <v>#N/A</v>
      </c>
      <c r="W13" s="271"/>
      <c r="X13" s="271">
        <f t="shared" ca="1" si="4"/>
        <v>0</v>
      </c>
      <c r="Y13" s="271"/>
      <c r="Z13" s="271"/>
      <c r="AB13" s="273" t="str">
        <f t="shared" si="5"/>
        <v/>
      </c>
    </row>
    <row r="14" spans="1:34" s="272" customFormat="1" ht="19.899999999999999" customHeight="1">
      <c r="A14" s="324"/>
      <c r="B14" s="215" t="str">
        <f>IF(LEN(A14)=0,"",INDEX('Smelter Look-up'!$A:$A,MATCH($A14,'Smelter Look-up'!$E:$E,0)))</f>
        <v/>
      </c>
      <c r="C14" s="219" t="str">
        <f>IF(LEN(A14)=0,"",INDEX('Smelter Look-up'!$C:$C,MATCH($A14,'Smelter Look-up'!$E:$E,0)))</f>
        <v/>
      </c>
      <c r="D14" s="278"/>
      <c r="E14" s="215" t="str">
        <f ca="1">IF(ISERROR($V14),"",OFFSET('Smelter Look-up'!$D$4,$V14-4,0)&amp;"")</f>
        <v/>
      </c>
      <c r="F14" s="215" t="str">
        <f ca="1">IF(ISERROR($V14),"",OFFSET('Smelter Look-up'!$E$4,$V14-4,0))</f>
        <v/>
      </c>
      <c r="G14" s="215" t="str">
        <f ca="1">IF(C14=$X$4,"Enter smelter details",IF(ISERROR($V14),"",OFFSET('Smelter Look-up'!$F$4,$V14-4,0)))</f>
        <v/>
      </c>
      <c r="H14" s="216" t="str">
        <f ca="1">IF(ISERROR($V14),"",OFFSET('Smelter Look-up'!$G$4,$V14-4,0))</f>
        <v/>
      </c>
      <c r="I14" s="217" t="str">
        <f ca="1">IF(ISERROR($V14),"",OFFSET('Smelter Look-up'!$H$4,$V14-4,0))</f>
        <v/>
      </c>
      <c r="J14" s="217" t="str">
        <f ca="1">IF(ISERROR($V14),"",OFFSET('Smelter Look-up'!$I$4,$V14-4,0))</f>
        <v/>
      </c>
      <c r="K14" s="268"/>
      <c r="L14" s="268"/>
      <c r="M14" s="268"/>
      <c r="N14" s="268"/>
      <c r="O14" s="268"/>
      <c r="P14" s="218"/>
      <c r="Q14" s="269"/>
      <c r="R14" s="215" t="str">
        <f ca="1">IF(ISERROR($V14),"",OFFSET('Smelter Look-up'!$C$4,$V14-4,0)&amp;"")</f>
        <v/>
      </c>
      <c r="S14" s="222" t="str">
        <f t="shared" ca="1" si="3"/>
        <v/>
      </c>
      <c r="T14" s="222" t="str">
        <f ca="1">IF(B14="","",IF(ISERROR(MATCH($J14,SorP!$B$1:$B$6230,0)),"",INDIRECT("'SorP'!$A$"&amp;MATCH($J14,SorP!$B$1:$B$6230,0))))</f>
        <v/>
      </c>
      <c r="U14" s="238"/>
      <c r="V14" s="270" t="e">
        <f>IF(C14="",NA(),MATCH($B14&amp;$C14,'Smelter Look-up'!$J:$J,0))</f>
        <v>#N/A</v>
      </c>
      <c r="W14" s="271"/>
      <c r="X14" s="271">
        <f t="shared" ca="1" si="4"/>
        <v>0</v>
      </c>
      <c r="Y14" s="271"/>
      <c r="Z14" s="271"/>
      <c r="AB14" s="273" t="str">
        <f t="shared" si="5"/>
        <v/>
      </c>
    </row>
    <row r="15" spans="1:34" s="272" customFormat="1" ht="19.899999999999999" customHeight="1">
      <c r="A15" s="324"/>
      <c r="B15" s="215" t="str">
        <f>IF(LEN(A15)=0,"",INDEX('Smelter Look-up'!$A:$A,MATCH($A15,'Smelter Look-up'!$E:$E,0)))</f>
        <v/>
      </c>
      <c r="C15" s="219" t="str">
        <f>IF(LEN(A15)=0,"",INDEX('Smelter Look-up'!$C:$C,MATCH($A15,'Smelter Look-up'!$E:$E,0)))</f>
        <v/>
      </c>
      <c r="D15" s="278"/>
      <c r="E15" s="215" t="str">
        <f ca="1">IF(ISERROR($V15),"",OFFSET('Smelter Look-up'!$D$4,$V15-4,0)&amp;"")</f>
        <v/>
      </c>
      <c r="F15" s="215" t="str">
        <f ca="1">IF(ISERROR($V15),"",OFFSET('Smelter Look-up'!$E$4,$V15-4,0))</f>
        <v/>
      </c>
      <c r="G15" s="215" t="str">
        <f ca="1">IF(C15=$X$4,"Enter smelter details",IF(ISERROR($V15),"",OFFSET('Smelter Look-up'!$F$4,$V15-4,0)))</f>
        <v/>
      </c>
      <c r="H15" s="216" t="str">
        <f ca="1">IF(ISERROR($V15),"",OFFSET('Smelter Look-up'!$G$4,$V15-4,0))</f>
        <v/>
      </c>
      <c r="I15" s="217" t="str">
        <f ca="1">IF(ISERROR($V15),"",OFFSET('Smelter Look-up'!$H$4,$V15-4,0))</f>
        <v/>
      </c>
      <c r="J15" s="217" t="str">
        <f ca="1">IF(ISERROR($V15),"",OFFSET('Smelter Look-up'!$I$4,$V15-4,0))</f>
        <v/>
      </c>
      <c r="K15" s="268"/>
      <c r="L15" s="268"/>
      <c r="M15" s="268"/>
      <c r="N15" s="268"/>
      <c r="O15" s="268"/>
      <c r="P15" s="218"/>
      <c r="Q15" s="269"/>
      <c r="R15" s="215" t="str">
        <f ca="1">IF(ISERROR($V15),"",OFFSET('Smelter Look-up'!$C$4,$V15-4,0)&amp;"")</f>
        <v/>
      </c>
      <c r="S15" s="222" t="str">
        <f t="shared" ca="1" si="3"/>
        <v/>
      </c>
      <c r="T15" s="222" t="str">
        <f ca="1">IF(B15="","",IF(ISERROR(MATCH($J15,SorP!$B$1:$B$6230,0)),"",INDIRECT("'SorP'!$A$"&amp;MATCH($J15,SorP!$B$1:$B$6230,0))))</f>
        <v/>
      </c>
      <c r="U15" s="238"/>
      <c r="V15" s="270" t="e">
        <f>IF(C15="",NA(),MATCH($B15&amp;$C15,'Smelter Look-up'!$J:$J,0))</f>
        <v>#N/A</v>
      </c>
      <c r="W15" s="271"/>
      <c r="X15" s="271">
        <f t="shared" ca="1" si="4"/>
        <v>0</v>
      </c>
      <c r="Y15" s="271"/>
      <c r="Z15" s="271"/>
      <c r="AB15" s="273" t="str">
        <f t="shared" si="5"/>
        <v/>
      </c>
    </row>
    <row r="16" spans="1:34" s="272" customFormat="1" ht="19.899999999999999" customHeight="1">
      <c r="A16" s="324"/>
      <c r="B16" s="215" t="str">
        <f>IF(LEN(A16)=0,"",INDEX('Smelter Look-up'!$A:$A,MATCH($A16,'Smelter Look-up'!$E:$E,0)))</f>
        <v/>
      </c>
      <c r="C16" s="219" t="str">
        <f>IF(LEN(A16)=0,"",INDEX('Smelter Look-up'!$C:$C,MATCH($A16,'Smelter Look-up'!$E:$E,0)))</f>
        <v/>
      </c>
      <c r="D16" s="278"/>
      <c r="E16" s="215" t="str">
        <f ca="1">IF(ISERROR($V16),"",OFFSET('Smelter Look-up'!$D$4,$V16-4,0)&amp;"")</f>
        <v/>
      </c>
      <c r="F16" s="215" t="str">
        <f ca="1">IF(ISERROR($V16),"",OFFSET('Smelter Look-up'!$E$4,$V16-4,0))</f>
        <v/>
      </c>
      <c r="G16" s="215" t="str">
        <f ca="1">IF(C16=$X$4,"Enter smelter details",IF(ISERROR($V16),"",OFFSET('Smelter Look-up'!$F$4,$V16-4,0)))</f>
        <v/>
      </c>
      <c r="H16" s="216" t="str">
        <f ca="1">IF(ISERROR($V16),"",OFFSET('Smelter Look-up'!$G$4,$V16-4,0))</f>
        <v/>
      </c>
      <c r="I16" s="217" t="str">
        <f ca="1">IF(ISERROR($V16),"",OFFSET('Smelter Look-up'!$H$4,$V16-4,0))</f>
        <v/>
      </c>
      <c r="J16" s="217" t="str">
        <f ca="1">IF(ISERROR($V16),"",OFFSET('Smelter Look-up'!$I$4,$V16-4,0))</f>
        <v/>
      </c>
      <c r="K16" s="268"/>
      <c r="L16" s="268"/>
      <c r="M16" s="268"/>
      <c r="N16" s="268"/>
      <c r="O16" s="268"/>
      <c r="P16" s="218"/>
      <c r="Q16" s="269"/>
      <c r="R16" s="215" t="str">
        <f ca="1">IF(ISERROR($V16),"",OFFSET('Smelter Look-up'!$C$4,$V16-4,0)&amp;"")</f>
        <v/>
      </c>
      <c r="S16" s="222" t="str">
        <f t="shared" ca="1" si="3"/>
        <v/>
      </c>
      <c r="T16" s="222" t="str">
        <f ca="1">IF(B16="","",IF(ISERROR(MATCH($J16,SorP!$B$1:$B$6230,0)),"",INDIRECT("'SorP'!$A$"&amp;MATCH($J16,SorP!$B$1:$B$6230,0))))</f>
        <v/>
      </c>
      <c r="U16" s="238"/>
      <c r="V16" s="270" t="e">
        <f>IF(C16="",NA(),MATCH($B16&amp;$C16,'Smelter Look-up'!$J:$J,0))</f>
        <v>#N/A</v>
      </c>
      <c r="W16" s="271"/>
      <c r="X16" s="271">
        <f t="shared" ca="1" si="4"/>
        <v>0</v>
      </c>
      <c r="Y16" s="271"/>
      <c r="Z16" s="271"/>
      <c r="AB16" s="273" t="str">
        <f t="shared" si="5"/>
        <v/>
      </c>
    </row>
    <row r="17" spans="1:28" s="272" customFormat="1" ht="19.899999999999999" customHeight="1">
      <c r="A17" s="324"/>
      <c r="B17" s="215" t="str">
        <f>IF(LEN(A17)=0,"",INDEX('Smelter Look-up'!$A:$A,MATCH($A17,'Smelter Look-up'!$E:$E,0)))</f>
        <v/>
      </c>
      <c r="C17" s="219" t="str">
        <f>IF(LEN(A17)=0,"",INDEX('Smelter Look-up'!$C:$C,MATCH($A17,'Smelter Look-up'!$E:$E,0)))</f>
        <v/>
      </c>
      <c r="D17" s="278"/>
      <c r="E17" s="215" t="str">
        <f ca="1">IF(ISERROR($V17),"",OFFSET('Smelter Look-up'!$D$4,$V17-4,0)&amp;"")</f>
        <v/>
      </c>
      <c r="F17" s="215" t="str">
        <f ca="1">IF(ISERROR($V17),"",OFFSET('Smelter Look-up'!$E$4,$V17-4,0))</f>
        <v/>
      </c>
      <c r="G17" s="215" t="str">
        <f ca="1">IF(C17=$X$4,"Enter smelter details",IF(ISERROR($V17),"",OFFSET('Smelter Look-up'!$F$4,$V17-4,0)))</f>
        <v/>
      </c>
      <c r="H17" s="216" t="str">
        <f ca="1">IF(ISERROR($V17),"",OFFSET('Smelter Look-up'!$G$4,$V17-4,0))</f>
        <v/>
      </c>
      <c r="I17" s="217" t="str">
        <f ca="1">IF(ISERROR($V17),"",OFFSET('Smelter Look-up'!$H$4,$V17-4,0))</f>
        <v/>
      </c>
      <c r="J17" s="217" t="str">
        <f ca="1">IF(ISERROR($V17),"",OFFSET('Smelter Look-up'!$I$4,$V17-4,0))</f>
        <v/>
      </c>
      <c r="K17" s="268"/>
      <c r="L17" s="268"/>
      <c r="M17" s="268"/>
      <c r="N17" s="268"/>
      <c r="O17" s="268"/>
      <c r="P17" s="218"/>
      <c r="Q17" s="269"/>
      <c r="R17" s="215" t="str">
        <f ca="1">IF(ISERROR($V17),"",OFFSET('Smelter Look-up'!$C$4,$V17-4,0)&amp;"")</f>
        <v/>
      </c>
      <c r="S17" s="222" t="str">
        <f t="shared" ca="1" si="3"/>
        <v/>
      </c>
      <c r="T17" s="222" t="str">
        <f ca="1">IF(B17="","",IF(ISERROR(MATCH($J17,SorP!$B$1:$B$6230,0)),"",INDIRECT("'SorP'!$A$"&amp;MATCH($J17,SorP!$B$1:$B$6230,0))))</f>
        <v/>
      </c>
      <c r="U17" s="238"/>
      <c r="V17" s="270" t="e">
        <f>IF(C17="",NA(),MATCH($B17&amp;$C17,'Smelter Look-up'!$J:$J,0))</f>
        <v>#N/A</v>
      </c>
      <c r="W17" s="271"/>
      <c r="X17" s="271">
        <f t="shared" ca="1" si="4"/>
        <v>0</v>
      </c>
      <c r="Y17" s="271"/>
      <c r="Z17" s="271"/>
      <c r="AB17" s="273" t="str">
        <f t="shared" si="5"/>
        <v/>
      </c>
    </row>
    <row r="18" spans="1:28" s="272" customFormat="1" ht="19.899999999999999"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AB7CA60-624C-4EE9-909D-C027C02A2759}"/>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Technifast Ltd</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Suzanne Lilly</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sales@technifast.co.uk</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01536 461140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Louis Speed</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lspeed@technifast.co.uk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44452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807</v>
      </c>
      <c r="F20" s="107">
        <f>IF(B$15="No",0,1)</f>
        <v>0</v>
      </c>
      <c r="G20" s="81">
        <f>IF(B20=0,1,0)</f>
        <v>1</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807</v>
      </c>
      <c r="F25" s="107">
        <f>IF(OR(B15="No",B20="No"),0,1)</f>
        <v>0</v>
      </c>
      <c r="G25" s="81">
        <f>IF(B25=0,1,0)</f>
        <v>1</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22" t="str">
        <f>IF(H30=1,"Click here to answer question 4 for Tin","")</f>
        <v/>
      </c>
      <c r="E30" s="84"/>
      <c r="F30" s="107">
        <f>F25</f>
        <v>0</v>
      </c>
      <c r="G30" s="81">
        <f>IF(B30=0,1,0)</f>
        <v>1</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22" t="str">
        <f>IF(H35=1,"Click here to answer question 5 for Tin","")</f>
        <v/>
      </c>
      <c r="E35" s="84" t="s">
        <v>1307</v>
      </c>
      <c r="F35" s="107">
        <f>F25</f>
        <v>0</v>
      </c>
      <c r="G35" s="81">
        <f>IF(B35=0,1,0)</f>
        <v>1</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341">
        <f>IF(AND($B$15="Yes",$B$20="Yes"),Declaration!D57,0)</f>
        <v>0</v>
      </c>
      <c r="C40" s="102" t="str">
        <f ca="1">IF(H40=1,J40,I40)</f>
        <v>Complete</v>
      </c>
      <c r="D40" s="323" t="str">
        <f>IF(H40=1,"Click here to answer question 6 for Tin","")</f>
        <v/>
      </c>
      <c r="E40" s="84" t="s">
        <v>806</v>
      </c>
      <c r="F40" s="107">
        <f>F25</f>
        <v>0</v>
      </c>
      <c r="G40" s="81">
        <f>IF(B40=0,1,0)</f>
        <v>1</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22" t="str">
        <f>IF(H45=1,"Click here to answer question 7 for Tin","")</f>
        <v/>
      </c>
      <c r="E45" s="84" t="s">
        <v>1303</v>
      </c>
      <c r="F45" s="107">
        <f>F25</f>
        <v>0</v>
      </c>
      <c r="G45" s="81">
        <f>IF(B45=0,1,0)</f>
        <v>1</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23" t="str">
        <f>IF(H50=1,"Click here to answer question 8 for Tin","")</f>
        <v/>
      </c>
      <c r="E50" s="84" t="s">
        <v>807</v>
      </c>
      <c r="F50" s="107">
        <f>F25</f>
        <v>0</v>
      </c>
      <c r="G50" s="81">
        <f>IF(B50=0,1,0)</f>
        <v>1</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1307</v>
      </c>
      <c r="F54" s="107">
        <f>IF(SUM(F$24:F$27)=0,0,1)</f>
        <v>0</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1307</v>
      </c>
      <c r="F55" s="107">
        <f t="shared" ref="F55" si="12">F$54</f>
        <v>0</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https://bit.ly/3htFVRb</v>
      </c>
      <c r="C56" s="102" t="str">
        <f t="shared" ca="1" si="10"/>
        <v>Complete</v>
      </c>
      <c r="D56" s="108" t="str">
        <f>IF(H56=1,"Click here to specify URL for question (B)","")</f>
        <v/>
      </c>
      <c r="E56" s="84"/>
      <c r="F56" s="107">
        <f>IF(AND(F55=1,B55="Yes"),1,0)</f>
        <v>0</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1307</v>
      </c>
      <c r="F57" s="107">
        <f>F$54</f>
        <v>0</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1307</v>
      </c>
      <c r="F58" s="107">
        <f>F$54</f>
        <v>0</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1307</v>
      </c>
      <c r="F59" s="107">
        <f>F$54</f>
        <v>0</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1307</v>
      </c>
      <c r="F60" s="107">
        <f>F$54</f>
        <v>0</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v>
      </c>
      <c r="B62" s="102" t="str">
        <f>Declaration!D87</f>
        <v>Yes</v>
      </c>
      <c r="C62" s="102" t="str">
        <f t="shared" ref="C62:C68" ca="1" si="13">IF(H62=1,J62,I62)</f>
        <v>Complete</v>
      </c>
      <c r="D62" s="108" t="str">
        <f>IF(H62=1,"Click here to answer question (G)","")</f>
        <v/>
      </c>
      <c r="E62" s="84" t="s">
        <v>1307</v>
      </c>
      <c r="F62" s="107">
        <f>F$54</f>
        <v>0</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1307</v>
      </c>
      <c r="F63" s="107">
        <f>F$54</f>
        <v>0</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List'!AB$5:AB$2504,"Tantalum?*")&gt;0),0,1)</f>
        <v>1</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0</v>
      </c>
      <c r="G66" s="81">
        <f>IF(AND(COUNTIF(SmelterIdetifiedForMetal,"Tin")&gt;0,COUNTIF('Smelter List'!AB$5:AB$2504,"Tin?*")&gt;0),0,1)</f>
        <v>1</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0</v>
      </c>
      <c r="G67" s="81">
        <f>IF(AND(COUNTIF(SmelterIdetifiedForMetal,"Gold")&gt;0,COUNTIF('Smelter List'!AB$5:AB$2504,"Gold?*")&gt;0),0,1)</f>
        <v>1</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Suzanne Lilly</cp:lastModifiedBy>
  <cp:lastPrinted>2015-04-21T20:47:43Z</cp:lastPrinted>
  <dcterms:created xsi:type="dcterms:W3CDTF">2010-06-21T21:00:23Z</dcterms:created>
  <dcterms:modified xsi:type="dcterms:W3CDTF">2021-09-13T09:03:11Z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